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Sheet2" sheetId="1" r:id="rId1"/>
    <sheet name="CIUK BUDGET" sheetId="2" r:id="rId2"/>
    <sheet name="Sheet1" sheetId="3" r:id="rId3"/>
  </sheets>
  <definedNames>
    <definedName name="_xlnm.Print_Area" localSheetId="1">'CIUK BUDGET'!$A$1:$AC$86</definedName>
  </definedNames>
  <calcPr fullCalcOnLoad="1"/>
</workbook>
</file>

<file path=xl/sharedStrings.xml><?xml version="1.0" encoding="utf-8"?>
<sst xmlns="http://schemas.openxmlformats.org/spreadsheetml/2006/main" count="255" uniqueCount="114">
  <si>
    <t>Local travel and per diems</t>
  </si>
  <si>
    <t>Office rental</t>
  </si>
  <si>
    <t>Fuel</t>
  </si>
  <si>
    <t>Budget/ footnote reference</t>
  </si>
  <si>
    <t>Unit 
Cost</t>
  </si>
  <si>
    <t>Total Cost in USD</t>
  </si>
  <si>
    <t>Total cost in UKL</t>
  </si>
  <si>
    <r>
      <t>SUPPLIES/MATERIALS</t>
    </r>
    <r>
      <rPr>
        <sz val="9.5"/>
        <rFont val="Arial"/>
        <family val="2"/>
      </rPr>
      <t xml:space="preserve"> </t>
    </r>
  </si>
  <si>
    <t xml:space="preserve">month </t>
  </si>
  <si>
    <t>NON-PERSONNEL</t>
  </si>
  <si>
    <t xml:space="preserve">In-country locally engaged </t>
  </si>
  <si>
    <t>sub-total</t>
  </si>
  <si>
    <t xml:space="preserve">In-country expatriate </t>
  </si>
  <si>
    <t>PERSONNEL</t>
  </si>
  <si>
    <t>PERSONNEL SUPPORT</t>
  </si>
  <si>
    <t>SUBTOTAL</t>
  </si>
  <si>
    <t>CONTINGENCY</t>
  </si>
  <si>
    <t>TOTAL PROJECT  COST</t>
  </si>
  <si>
    <t>No. of Units</t>
  </si>
  <si>
    <t>Country Director (10%)</t>
  </si>
  <si>
    <t>BEING REQUESTED FROM OTHER DONORS</t>
  </si>
  <si>
    <t>Operations/ Logistics Manager</t>
  </si>
  <si>
    <t>Program Manager</t>
  </si>
  <si>
    <t>Finance &amp; Admin staff</t>
  </si>
  <si>
    <t>Temporary/casual staff</t>
  </si>
  <si>
    <t>Security/ Logistics staff</t>
  </si>
  <si>
    <t>ACD-Finance &amp; Admin</t>
  </si>
  <si>
    <t>HR/ Admin Manager</t>
  </si>
  <si>
    <t>Warehouse and transport staff</t>
  </si>
  <si>
    <t>Item</t>
  </si>
  <si>
    <t>Vehicle rental</t>
  </si>
  <si>
    <t>Boat rental</t>
  </si>
  <si>
    <t>Communications equipment</t>
  </si>
  <si>
    <t>Communications equipment rental</t>
  </si>
  <si>
    <t>Project Coordinator</t>
  </si>
  <si>
    <t>Off-shore project staff</t>
  </si>
  <si>
    <t>Health</t>
  </si>
  <si>
    <t>Livelihood</t>
  </si>
  <si>
    <t>Watsan</t>
  </si>
  <si>
    <t>Shelter</t>
  </si>
  <si>
    <t>Household items</t>
  </si>
  <si>
    <t>4x4 Vehicles</t>
  </si>
  <si>
    <t>Internet &amp; communications (incl connection charges)</t>
  </si>
  <si>
    <t>Utilities</t>
  </si>
  <si>
    <t>Warehouse/storage facilities</t>
  </si>
  <si>
    <t>Security</t>
  </si>
  <si>
    <t>Office supplies</t>
  </si>
  <si>
    <t>M&amp;E Staff</t>
  </si>
  <si>
    <t>CAPITAL ITEMS</t>
  </si>
  <si>
    <t>International travel</t>
  </si>
  <si>
    <t>Office furniture &amp; equipment</t>
  </si>
  <si>
    <t>Country Office support staff (10%)</t>
  </si>
  <si>
    <t xml:space="preserve">Items </t>
  </si>
  <si>
    <t>Country Office: CARE Myanmar</t>
  </si>
  <si>
    <t>Computer &amp; IT equipment</t>
  </si>
  <si>
    <t>PABX</t>
  </si>
  <si>
    <t>FOC</t>
  </si>
  <si>
    <t>SPO</t>
  </si>
  <si>
    <t>JPO</t>
  </si>
  <si>
    <t>Number</t>
  </si>
  <si>
    <t>Assessment Team</t>
  </si>
  <si>
    <t>DfID</t>
  </si>
  <si>
    <t>CIDA</t>
  </si>
  <si>
    <t>Gates</t>
  </si>
  <si>
    <t>Jean Couteau Foundation</t>
  </si>
  <si>
    <t>Oxfam US</t>
  </si>
  <si>
    <t>MOFA - Lux</t>
  </si>
  <si>
    <t>MOFA - Ger</t>
  </si>
  <si>
    <t>DAH</t>
  </si>
  <si>
    <t>MOFA - Fra</t>
  </si>
  <si>
    <t>DEC</t>
  </si>
  <si>
    <t>12 mths</t>
  </si>
  <si>
    <t>6 mths</t>
  </si>
  <si>
    <t>1 mth</t>
  </si>
  <si>
    <t>TOTAL (Phase 1)</t>
  </si>
  <si>
    <t>State of Geneva</t>
  </si>
  <si>
    <t>AusAID 1</t>
  </si>
  <si>
    <t>AusAID 2</t>
  </si>
  <si>
    <t>MANAGEMENT SUPPORT (7%)</t>
  </si>
  <si>
    <t>Budget Matrix - Phase 1</t>
  </si>
  <si>
    <t>12 months</t>
  </si>
  <si>
    <t>Cyclone Nargis Emergency Response Program</t>
  </si>
  <si>
    <t>May - Oct 08</t>
  </si>
  <si>
    <t>Other expat staff</t>
  </si>
  <si>
    <t>LDS (CARE DEU)</t>
  </si>
  <si>
    <t>SHO (Norway)</t>
  </si>
  <si>
    <t>Contracted</t>
  </si>
  <si>
    <t>Likely</t>
  </si>
  <si>
    <t>Phase 1 Funding</t>
  </si>
  <si>
    <t>Regional support office (incl staffing)</t>
  </si>
  <si>
    <t>Transportation</t>
  </si>
  <si>
    <t xml:space="preserve">Import duties, taxes and storage </t>
  </si>
  <si>
    <t>5 mths</t>
  </si>
  <si>
    <t>CARE Australia ERF (Reserve)</t>
  </si>
  <si>
    <t>Public Donations, etc (conservative estimate)</t>
  </si>
  <si>
    <t>MOFA - Nor</t>
  </si>
  <si>
    <t>Unit (Duration)</t>
  </si>
  <si>
    <t>Total</t>
  </si>
  <si>
    <t>Confirmed</t>
  </si>
  <si>
    <t>Project No</t>
  </si>
  <si>
    <t>Fund Code</t>
  </si>
  <si>
    <t>MMR083</t>
  </si>
  <si>
    <t>MM111</t>
  </si>
  <si>
    <t>MMR084</t>
  </si>
  <si>
    <t>MM112</t>
  </si>
  <si>
    <t>Percentage Share</t>
  </si>
  <si>
    <t>Reserve</t>
  </si>
  <si>
    <t>Account Group</t>
  </si>
  <si>
    <t>Description</t>
  </si>
  <si>
    <t>Original Currency</t>
  </si>
  <si>
    <t>Exchange Rate (1$=)</t>
  </si>
  <si>
    <t>Requested Amount</t>
  </si>
  <si>
    <t>AUD</t>
  </si>
  <si>
    <t>Duration in Months</t>
  </si>
</sst>
</file>

<file path=xl/styles.xml><?xml version="1.0" encoding="utf-8"?>
<styleSheet xmlns="http://schemas.openxmlformats.org/spreadsheetml/2006/main">
  <numFmts count="3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[$€-2]\ * #,##0.00_);_([$€-2]\ * \(#,##0.00\);_([$€-2]\ * &quot;-&quot;??_)"/>
    <numFmt numFmtId="189" formatCode="0.0%"/>
    <numFmt numFmtId="190" formatCode="_(* #,##0.0_);_(* \(#,##0.0\);_(* &quot;-&quot;??_);_(@_)"/>
    <numFmt numFmtId="191" formatCode="_(* #,##0_);_(* \(#,##0\);_(* &quot;-&quot;??_);_(@_)"/>
    <numFmt numFmtId="192" formatCode="[$£-809]#,##0.00"/>
    <numFmt numFmtId="193" formatCode="_-* #,##0_-;\-* #,##0_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/>
      <right style="thin">
        <color indexed="32"/>
      </right>
      <top style="medium"/>
      <bottom style="thin">
        <color indexed="32"/>
      </bottom>
    </border>
    <border>
      <left style="medium"/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/>
      <top style="thin">
        <color indexed="32"/>
      </top>
      <bottom style="thin">
        <color indexed="32"/>
      </bottom>
    </border>
    <border>
      <left style="medium"/>
      <right style="thin">
        <color indexed="32"/>
      </right>
      <top style="thin">
        <color indexed="32"/>
      </top>
      <bottom style="medium"/>
    </border>
    <border>
      <left style="thin">
        <color indexed="32"/>
      </left>
      <right style="thin">
        <color indexed="32"/>
      </right>
      <top style="thin">
        <color indexed="32"/>
      </top>
      <bottom style="medium"/>
    </border>
    <border>
      <left style="thin">
        <color indexed="32"/>
      </left>
      <right style="medium"/>
      <top style="thin">
        <color indexed="32"/>
      </top>
      <bottom style="medium"/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 style="thin">
        <color indexed="32"/>
      </left>
      <right style="medium"/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/>
      <bottom>
        <color indexed="63"/>
      </bottom>
    </border>
    <border>
      <left style="thin">
        <color indexed="32"/>
      </left>
      <right style="medium"/>
      <top style="medium"/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3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vertical="top" wrapText="1"/>
    </xf>
    <xf numFmtId="175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175" fontId="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horizontal="center"/>
    </xf>
    <xf numFmtId="41" fontId="9" fillId="34" borderId="0" xfId="0" applyNumberFormat="1" applyFont="1" applyFill="1" applyBorder="1" applyAlignment="1" applyProtection="1">
      <alignment horizontal="center"/>
      <protection locked="0"/>
    </xf>
    <xf numFmtId="175" fontId="7" fillId="33" borderId="10" xfId="0" applyNumberFormat="1" applyFont="1" applyFill="1" applyBorder="1" applyAlignment="1">
      <alignment horizontal="center"/>
    </xf>
    <xf numFmtId="191" fontId="7" fillId="33" borderId="10" xfId="42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175" fontId="5" fillId="0" borderId="13" xfId="0" applyNumberFormat="1" applyFont="1" applyBorder="1" applyAlignment="1">
      <alignment/>
    </xf>
    <xf numFmtId="175" fontId="5" fillId="0" borderId="13" xfId="42" applyNumberFormat="1" applyFont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175" fontId="7" fillId="33" borderId="13" xfId="0" applyNumberFormat="1" applyFont="1" applyFill="1" applyBorder="1" applyAlignment="1">
      <alignment/>
    </xf>
    <xf numFmtId="0" fontId="7" fillId="0" borderId="12" xfId="0" applyFont="1" applyBorder="1" applyAlignment="1">
      <alignment horizontal="left" vertical="top" wrapText="1"/>
    </xf>
    <xf numFmtId="175" fontId="5" fillId="0" borderId="13" xfId="0" applyNumberFormat="1" applyFont="1" applyBorder="1" applyAlignment="1">
      <alignment horizontal="center"/>
    </xf>
    <xf numFmtId="175" fontId="7" fillId="0" borderId="13" xfId="0" applyNumberFormat="1" applyFont="1" applyBorder="1" applyAlignment="1">
      <alignment horizontal="center"/>
    </xf>
    <xf numFmtId="175" fontId="7" fillId="33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175" fontId="5" fillId="0" borderId="13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left" vertical="top" wrapText="1"/>
    </xf>
    <xf numFmtId="175" fontId="7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175" fontId="5" fillId="0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175" fontId="7" fillId="33" borderId="15" xfId="0" applyNumberFormat="1" applyFont="1" applyFill="1" applyBorder="1" applyAlignment="1">
      <alignment horizontal="center"/>
    </xf>
    <xf numFmtId="175" fontId="7" fillId="33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43" fontId="5" fillId="0" borderId="0" xfId="42" applyFont="1" applyBorder="1" applyAlignment="1">
      <alignment horizontal="right"/>
    </xf>
    <xf numFmtId="43" fontId="7" fillId="0" borderId="0" xfId="42" applyFont="1" applyBorder="1" applyAlignment="1">
      <alignment horizontal="right"/>
    </xf>
    <xf numFmtId="43" fontId="8" fillId="0" borderId="0" xfId="42" applyFont="1" applyBorder="1" applyAlignment="1">
      <alignment/>
    </xf>
    <xf numFmtId="43" fontId="5" fillId="0" borderId="10" xfId="42" applyFont="1" applyBorder="1" applyAlignment="1">
      <alignment horizontal="right"/>
    </xf>
    <xf numFmtId="43" fontId="5" fillId="33" borderId="10" xfId="42" applyFont="1" applyFill="1" applyBorder="1" applyAlignment="1">
      <alignment horizontal="right"/>
    </xf>
    <xf numFmtId="43" fontId="7" fillId="0" borderId="10" xfId="42" applyFont="1" applyBorder="1" applyAlignment="1">
      <alignment horizontal="right" vertical="top" wrapText="1"/>
    </xf>
    <xf numFmtId="43" fontId="5" fillId="0" borderId="10" xfId="42" applyFont="1" applyFill="1" applyBorder="1" applyAlignment="1">
      <alignment horizontal="right"/>
    </xf>
    <xf numFmtId="43" fontId="5" fillId="33" borderId="15" xfId="42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191" fontId="1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7" fillId="33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191" fontId="0" fillId="0" borderId="0" xfId="42" applyNumberFormat="1" applyFont="1" applyAlignment="1">
      <alignment horizontal="right"/>
    </xf>
    <xf numFmtId="192" fontId="7" fillId="35" borderId="0" xfId="42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9" fontId="8" fillId="0" borderId="0" xfId="0" applyNumberFormat="1" applyFont="1" applyFill="1" applyBorder="1" applyAlignment="1">
      <alignment/>
    </xf>
    <xf numFmtId="175" fontId="5" fillId="0" borderId="17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38" fontId="8" fillId="36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 wrapText="1"/>
    </xf>
    <xf numFmtId="38" fontId="5" fillId="0" borderId="1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/>
    </xf>
    <xf numFmtId="38" fontId="5" fillId="0" borderId="17" xfId="0" applyNumberFormat="1" applyFont="1" applyBorder="1" applyAlignment="1">
      <alignment/>
    </xf>
    <xf numFmtId="175" fontId="5" fillId="0" borderId="19" xfId="42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38" fontId="8" fillId="36" borderId="17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 horizontal="left"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right" vertical="center" wrapText="1"/>
    </xf>
    <xf numFmtId="43" fontId="7" fillId="33" borderId="23" xfId="42" applyFont="1" applyFill="1" applyBorder="1" applyAlignment="1">
      <alignment horizontal="center" vertical="center" wrapText="1"/>
    </xf>
    <xf numFmtId="175" fontId="7" fillId="33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175" fontId="5" fillId="0" borderId="17" xfId="0" applyNumberFormat="1" applyFont="1" applyFill="1" applyBorder="1" applyAlignment="1">
      <alignment/>
    </xf>
    <xf numFmtId="38" fontId="8" fillId="36" borderId="26" xfId="0" applyNumberFormat="1" applyFont="1" applyFill="1" applyBorder="1" applyAlignment="1">
      <alignment/>
    </xf>
    <xf numFmtId="0" fontId="7" fillId="36" borderId="27" xfId="0" applyFont="1" applyFill="1" applyBorder="1" applyAlignment="1">
      <alignment horizontal="center"/>
    </xf>
    <xf numFmtId="175" fontId="5" fillId="36" borderId="28" xfId="0" applyNumberFormat="1" applyFont="1" applyFill="1" applyBorder="1" applyAlignment="1">
      <alignment/>
    </xf>
    <xf numFmtId="0" fontId="0" fillId="36" borderId="28" xfId="0" applyFont="1" applyFill="1" applyBorder="1" applyAlignment="1">
      <alignment/>
    </xf>
    <xf numFmtId="38" fontId="8" fillId="36" borderId="28" xfId="0" applyNumberFormat="1" applyFont="1" applyFill="1" applyBorder="1" applyAlignment="1">
      <alignment/>
    </xf>
    <xf numFmtId="38" fontId="8" fillId="36" borderId="29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7" fillId="36" borderId="31" xfId="0" applyFont="1" applyFill="1" applyBorder="1" applyAlignment="1">
      <alignment horizontal="center"/>
    </xf>
    <xf numFmtId="175" fontId="5" fillId="36" borderId="17" xfId="0" applyNumberFormat="1" applyFont="1" applyFill="1" applyBorder="1" applyAlignment="1">
      <alignment/>
    </xf>
    <xf numFmtId="38" fontId="8" fillId="36" borderId="32" xfId="0" applyNumberFormat="1" applyFont="1" applyFill="1" applyBorder="1" applyAlignment="1">
      <alignment/>
    </xf>
    <xf numFmtId="0" fontId="7" fillId="36" borderId="33" xfId="0" applyFont="1" applyFill="1" applyBorder="1" applyAlignment="1">
      <alignment horizontal="center"/>
    </xf>
    <xf numFmtId="175" fontId="5" fillId="36" borderId="34" xfId="0" applyNumberFormat="1" applyFont="1" applyFill="1" applyBorder="1" applyAlignment="1">
      <alignment/>
    </xf>
    <xf numFmtId="0" fontId="0" fillId="36" borderId="34" xfId="0" applyFont="1" applyFill="1" applyBorder="1" applyAlignment="1">
      <alignment/>
    </xf>
    <xf numFmtId="38" fontId="8" fillId="36" borderId="33" xfId="0" applyNumberFormat="1" applyFont="1" applyFill="1" applyBorder="1" applyAlignment="1">
      <alignment/>
    </xf>
    <xf numFmtId="38" fontId="8" fillId="36" borderId="34" xfId="0" applyNumberFormat="1" applyFont="1" applyFill="1" applyBorder="1" applyAlignment="1">
      <alignment/>
    </xf>
    <xf numFmtId="0" fontId="8" fillId="0" borderId="3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38" fontId="0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0" fontId="7" fillId="0" borderId="36" xfId="0" applyFont="1" applyBorder="1" applyAlignment="1">
      <alignment horizontal="center"/>
    </xf>
    <xf numFmtId="192" fontId="7" fillId="35" borderId="36" xfId="42" applyNumberFormat="1" applyFont="1" applyFill="1" applyBorder="1" applyAlignment="1">
      <alignment horizontal="left"/>
    </xf>
    <xf numFmtId="0" fontId="8" fillId="0" borderId="36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175" fontId="5" fillId="37" borderId="17" xfId="0" applyNumberFormat="1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8" fillId="37" borderId="17" xfId="0" applyFont="1" applyFill="1" applyBorder="1" applyAlignment="1">
      <alignment horizontal="right"/>
    </xf>
    <xf numFmtId="0" fontId="0" fillId="37" borderId="20" xfId="0" applyFont="1" applyFill="1" applyBorder="1" applyAlignment="1">
      <alignment/>
    </xf>
    <xf numFmtId="189" fontId="8" fillId="37" borderId="17" xfId="0" applyNumberFormat="1" applyFont="1" applyFill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3" max="3" width="15.7109375" style="0" bestFit="1" customWidth="1"/>
    <col min="4" max="4" width="16.8515625" style="0" customWidth="1"/>
    <col min="5" max="5" width="15.140625" style="0" customWidth="1"/>
    <col min="6" max="6" width="16.421875" style="0" customWidth="1"/>
    <col min="7" max="7" width="15.28125" style="0" customWidth="1"/>
    <col min="8" max="8" width="19.28125" style="0" bestFit="1" customWidth="1"/>
    <col min="15" max="15" width="9.8515625" style="0" bestFit="1" customWidth="1"/>
    <col min="27" max="27" width="9.8515625" style="0" bestFit="1" customWidth="1"/>
  </cols>
  <sheetData>
    <row r="1" spans="1:29" ht="16.5">
      <c r="A1" s="7" t="s">
        <v>79</v>
      </c>
      <c r="B1" s="7"/>
      <c r="C1" s="8"/>
      <c r="D1" s="8"/>
      <c r="E1" s="8"/>
      <c r="F1" s="70"/>
      <c r="G1" s="55"/>
      <c r="H1" s="9"/>
      <c r="I1" s="10"/>
      <c r="J1" s="62"/>
      <c r="K1" s="6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>
      <c r="A2" s="12" t="s">
        <v>82</v>
      </c>
      <c r="B2" s="12"/>
      <c r="C2" s="8"/>
      <c r="D2" s="8"/>
      <c r="E2" s="8"/>
      <c r="F2" s="70"/>
      <c r="G2" s="56"/>
      <c r="H2" s="9"/>
      <c r="I2" s="7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4.25">
      <c r="A3" s="12"/>
      <c r="B3" s="12"/>
      <c r="C3" s="8"/>
      <c r="D3" s="8"/>
      <c r="E3" s="8"/>
      <c r="F3" s="70"/>
      <c r="G3" s="56"/>
      <c r="H3" s="139" t="s">
        <v>99</v>
      </c>
      <c r="I3" s="140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1"/>
      <c r="AC3" s="142" t="s">
        <v>101</v>
      </c>
    </row>
    <row r="4" spans="1:29" ht="14.25">
      <c r="A4" s="12"/>
      <c r="B4" s="12"/>
      <c r="C4" s="8"/>
      <c r="D4" s="8"/>
      <c r="E4" s="8"/>
      <c r="F4" s="70"/>
      <c r="G4" s="56"/>
      <c r="H4" s="139" t="s">
        <v>100</v>
      </c>
      <c r="I4" s="140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1"/>
      <c r="AC4" s="142"/>
    </row>
    <row r="5" spans="1:29" ht="14.25">
      <c r="A5" s="12"/>
      <c r="B5" s="12"/>
      <c r="C5" s="8"/>
      <c r="D5" s="8"/>
      <c r="E5" s="8"/>
      <c r="F5" s="70"/>
      <c r="G5" s="56"/>
      <c r="H5" s="139" t="s">
        <v>109</v>
      </c>
      <c r="I5" s="140"/>
      <c r="J5" s="143" t="s">
        <v>112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1"/>
      <c r="AC5" s="142"/>
    </row>
    <row r="6" spans="1:29" ht="14.25">
      <c r="A6" s="12"/>
      <c r="B6" s="12"/>
      <c r="C6" s="8"/>
      <c r="D6" s="8"/>
      <c r="E6" s="8"/>
      <c r="F6" s="70"/>
      <c r="G6" s="56"/>
      <c r="H6" s="139" t="s">
        <v>111</v>
      </c>
      <c r="I6" s="140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1"/>
      <c r="AC6" s="142"/>
    </row>
    <row r="7" spans="1:29" ht="14.25">
      <c r="A7" s="12"/>
      <c r="B7" s="12"/>
      <c r="C7" s="8"/>
      <c r="D7" s="8"/>
      <c r="E7" s="8"/>
      <c r="F7" s="70"/>
      <c r="G7" s="56"/>
      <c r="H7" s="139" t="s">
        <v>110</v>
      </c>
      <c r="I7" s="140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1"/>
      <c r="AC7" s="142"/>
    </row>
    <row r="8" spans="1:29" ht="14.25">
      <c r="A8" s="12"/>
      <c r="B8" s="12"/>
      <c r="C8" s="8"/>
      <c r="D8" s="8"/>
      <c r="E8" s="8"/>
      <c r="F8" s="70"/>
      <c r="G8" s="56"/>
      <c r="H8" s="139" t="s">
        <v>113</v>
      </c>
      <c r="I8" s="140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1"/>
      <c r="AC8" s="142" t="s">
        <v>102</v>
      </c>
    </row>
    <row r="9" spans="1:29" ht="15" thickBot="1">
      <c r="A9" s="5"/>
      <c r="B9" s="5"/>
      <c r="C9" s="6"/>
      <c r="D9" s="6"/>
      <c r="E9" s="6"/>
      <c r="F9" s="71"/>
      <c r="G9" s="54"/>
      <c r="H9" s="3"/>
      <c r="I9" s="4"/>
      <c r="J9" s="96" t="s">
        <v>71</v>
      </c>
      <c r="K9" s="96" t="s">
        <v>72</v>
      </c>
      <c r="L9" s="96" t="s">
        <v>72</v>
      </c>
      <c r="M9" s="96" t="s">
        <v>72</v>
      </c>
      <c r="N9" s="96" t="s">
        <v>80</v>
      </c>
      <c r="O9" s="96" t="s">
        <v>92</v>
      </c>
      <c r="P9" s="96" t="s">
        <v>71</v>
      </c>
      <c r="Q9" s="96" t="s">
        <v>73</v>
      </c>
      <c r="R9" s="96" t="s">
        <v>72</v>
      </c>
      <c r="S9" s="96" t="s">
        <v>72</v>
      </c>
      <c r="T9" s="96" t="s">
        <v>71</v>
      </c>
      <c r="U9" s="96" t="s">
        <v>72</v>
      </c>
      <c r="V9" s="96"/>
      <c r="W9" s="96" t="s">
        <v>72</v>
      </c>
      <c r="X9" s="96" t="s">
        <v>72</v>
      </c>
      <c r="Y9" s="96" t="s">
        <v>72</v>
      </c>
      <c r="Z9" s="97" t="s">
        <v>71</v>
      </c>
      <c r="AA9" s="100" t="s">
        <v>72</v>
      </c>
      <c r="AB9" s="11"/>
      <c r="AC9" s="96" t="s">
        <v>71</v>
      </c>
    </row>
    <row r="10" spans="1:29" ht="100.5" thickBot="1">
      <c r="A10" s="33" t="s">
        <v>3</v>
      </c>
      <c r="B10" s="150" t="s">
        <v>107</v>
      </c>
      <c r="C10" s="111" t="s">
        <v>108</v>
      </c>
      <c r="D10" s="111" t="s">
        <v>59</v>
      </c>
      <c r="E10" s="111" t="s">
        <v>96</v>
      </c>
      <c r="F10" s="112" t="s">
        <v>18</v>
      </c>
      <c r="G10" s="113" t="s">
        <v>4</v>
      </c>
      <c r="H10" s="111" t="s">
        <v>5</v>
      </c>
      <c r="I10" s="114" t="s">
        <v>6</v>
      </c>
      <c r="J10" s="115" t="s">
        <v>76</v>
      </c>
      <c r="K10" s="115" t="s">
        <v>77</v>
      </c>
      <c r="L10" s="116" t="s">
        <v>62</v>
      </c>
      <c r="M10" s="116" t="s">
        <v>68</v>
      </c>
      <c r="N10" s="116" t="s">
        <v>70</v>
      </c>
      <c r="O10" s="116" t="s">
        <v>61</v>
      </c>
      <c r="P10" s="116" t="s">
        <v>63</v>
      </c>
      <c r="Q10" s="116" t="s">
        <v>64</v>
      </c>
      <c r="R10" s="116" t="s">
        <v>84</v>
      </c>
      <c r="S10" s="116" t="s">
        <v>69</v>
      </c>
      <c r="T10" s="116" t="s">
        <v>67</v>
      </c>
      <c r="U10" s="116" t="s">
        <v>66</v>
      </c>
      <c r="V10" s="116" t="s">
        <v>95</v>
      </c>
      <c r="W10" s="116" t="s">
        <v>65</v>
      </c>
      <c r="X10" s="116" t="s">
        <v>85</v>
      </c>
      <c r="Y10" s="116" t="s">
        <v>75</v>
      </c>
      <c r="Z10" s="117" t="s">
        <v>94</v>
      </c>
      <c r="AA10" s="116" t="s">
        <v>74</v>
      </c>
      <c r="AB10" s="11"/>
      <c r="AC10" s="116" t="s">
        <v>93</v>
      </c>
    </row>
    <row r="11" spans="1:29" ht="15" thickBot="1">
      <c r="A11" s="110"/>
      <c r="B11" s="151"/>
      <c r="C11" s="130" t="s">
        <v>88</v>
      </c>
      <c r="D11" s="131"/>
      <c r="E11" s="132"/>
      <c r="F11" s="132"/>
      <c r="G11" s="132"/>
      <c r="H11" s="132"/>
      <c r="I11" s="132"/>
      <c r="J11" s="133">
        <f>375000*0.25</f>
        <v>93750</v>
      </c>
      <c r="K11" s="134">
        <f>1000000*0.94</f>
        <v>940000</v>
      </c>
      <c r="L11" s="134">
        <v>992000</v>
      </c>
      <c r="M11" s="134">
        <f>500000*1.54</f>
        <v>770000</v>
      </c>
      <c r="N11" s="134">
        <f>500000*1.95*0.25</f>
        <v>243750</v>
      </c>
      <c r="O11" s="134">
        <f>700000*1.95</f>
        <v>1365000</v>
      </c>
      <c r="P11" s="134">
        <f>1000000*0.25</f>
        <v>250000</v>
      </c>
      <c r="Q11" s="134">
        <v>19800</v>
      </c>
      <c r="R11" s="134">
        <v>200000</v>
      </c>
      <c r="S11" s="134">
        <f>769000</f>
        <v>769000</v>
      </c>
      <c r="T11" s="134">
        <f>200000*1.55*0.25</f>
        <v>77500</v>
      </c>
      <c r="U11" s="134">
        <f>75000*1.55</f>
        <v>116250</v>
      </c>
      <c r="V11" s="134">
        <v>648714</v>
      </c>
      <c r="W11" s="134">
        <v>150000</v>
      </c>
      <c r="X11" s="134">
        <f>200000*1.54</f>
        <v>308000</v>
      </c>
      <c r="Y11" s="134">
        <v>100000</v>
      </c>
      <c r="Z11" s="134">
        <v>220537</v>
      </c>
      <c r="AA11" s="120">
        <f>SUM(E11:Z11)</f>
        <v>7264301</v>
      </c>
      <c r="AB11" s="135"/>
      <c r="AC11" s="120">
        <f>94000</f>
        <v>94000</v>
      </c>
    </row>
    <row r="12" spans="1:29" ht="14.25">
      <c r="A12" s="110"/>
      <c r="B12" s="152"/>
      <c r="C12" s="127" t="s">
        <v>86</v>
      </c>
      <c r="D12" s="128"/>
      <c r="E12" s="106"/>
      <c r="F12" s="106"/>
      <c r="G12" s="106"/>
      <c r="H12" s="106"/>
      <c r="I12" s="106"/>
      <c r="J12" s="105">
        <f>J11</f>
        <v>93750</v>
      </c>
      <c r="K12" s="105"/>
      <c r="L12" s="105"/>
      <c r="M12" s="105"/>
      <c r="N12" s="105"/>
      <c r="O12" s="105">
        <f>O11</f>
        <v>1365000</v>
      </c>
      <c r="P12" s="105">
        <f>P11</f>
        <v>250000</v>
      </c>
      <c r="Q12" s="105">
        <f>Q11</f>
        <v>19800</v>
      </c>
      <c r="R12" s="105">
        <f>R11</f>
        <v>200000</v>
      </c>
      <c r="S12" s="105"/>
      <c r="T12" s="105">
        <f aca="true" t="shared" si="0" ref="T12:Z12">T11</f>
        <v>77500</v>
      </c>
      <c r="U12" s="105">
        <f t="shared" si="0"/>
        <v>116250</v>
      </c>
      <c r="V12" s="105">
        <f t="shared" si="0"/>
        <v>648714</v>
      </c>
      <c r="W12" s="105">
        <f t="shared" si="0"/>
        <v>150000</v>
      </c>
      <c r="X12" s="105"/>
      <c r="Y12" s="105">
        <f t="shared" si="0"/>
        <v>100000</v>
      </c>
      <c r="Z12" s="105">
        <f t="shared" si="0"/>
        <v>220537</v>
      </c>
      <c r="AA12" s="129">
        <f>SUM(E12:Z12)</f>
        <v>3241551</v>
      </c>
      <c r="AB12" s="11"/>
      <c r="AC12" s="129">
        <f>AC11</f>
        <v>94000</v>
      </c>
    </row>
    <row r="13" spans="1:29" ht="15" thickBot="1">
      <c r="A13" s="110"/>
      <c r="B13" s="153"/>
      <c r="C13" s="121" t="s">
        <v>87</v>
      </c>
      <c r="D13" s="122"/>
      <c r="E13" s="123"/>
      <c r="F13" s="123"/>
      <c r="G13" s="123"/>
      <c r="H13" s="123"/>
      <c r="I13" s="123"/>
      <c r="J13" s="124"/>
      <c r="K13" s="124">
        <f>K11</f>
        <v>940000</v>
      </c>
      <c r="L13" s="124">
        <f>L11</f>
        <v>992000</v>
      </c>
      <c r="M13" s="124">
        <f>M11</f>
        <v>770000</v>
      </c>
      <c r="N13" s="124">
        <f>N11</f>
        <v>243750</v>
      </c>
      <c r="O13" s="124"/>
      <c r="P13" s="124"/>
      <c r="Q13" s="124"/>
      <c r="R13" s="124"/>
      <c r="S13" s="124">
        <f>S11</f>
        <v>769000</v>
      </c>
      <c r="T13" s="124"/>
      <c r="U13" s="124"/>
      <c r="V13" s="124"/>
      <c r="W13" s="124"/>
      <c r="X13" s="124">
        <f>X11</f>
        <v>308000</v>
      </c>
      <c r="Y13" s="124"/>
      <c r="Z13" s="124"/>
      <c r="AA13" s="125">
        <f>SUM(E13:Z13)</f>
        <v>4022750</v>
      </c>
      <c r="AB13" s="126"/>
      <c r="AC13" s="95"/>
    </row>
    <row r="14" spans="1:29" ht="14.25">
      <c r="A14" s="34"/>
      <c r="B14" s="154"/>
      <c r="C14" s="144"/>
      <c r="D14" s="145"/>
      <c r="E14" s="146"/>
      <c r="F14" s="146"/>
      <c r="G14" s="146"/>
      <c r="H14" s="147" t="s">
        <v>105</v>
      </c>
      <c r="I14" s="148"/>
      <c r="J14" s="149" t="e">
        <f>J11/$AA$15</f>
        <v>#DIV/0!</v>
      </c>
      <c r="K14" s="149" t="e">
        <f>K11/$AA$15</f>
        <v>#DIV/0!</v>
      </c>
      <c r="L14" s="149" t="e">
        <f>L11/$AA$15</f>
        <v>#DIV/0!</v>
      </c>
      <c r="M14" s="149" t="e">
        <f>M11/$AA$15</f>
        <v>#DIV/0!</v>
      </c>
      <c r="N14" s="149" t="e">
        <f>N11/$AA$15</f>
        <v>#DIV/0!</v>
      </c>
      <c r="O14" s="149" t="e">
        <f>O11/$AA$15</f>
        <v>#DIV/0!</v>
      </c>
      <c r="P14" s="149" t="e">
        <f>P11/$AA$15</f>
        <v>#DIV/0!</v>
      </c>
      <c r="Q14" s="149" t="e">
        <f>Q11/$AA$15</f>
        <v>#DIV/0!</v>
      </c>
      <c r="R14" s="149" t="e">
        <f>R11/$AA$15</f>
        <v>#DIV/0!</v>
      </c>
      <c r="S14" s="149" t="e">
        <f>S11/$AA$15</f>
        <v>#DIV/0!</v>
      </c>
      <c r="T14" s="149" t="e">
        <f>T11/$AA$15</f>
        <v>#DIV/0!</v>
      </c>
      <c r="U14" s="149" t="e">
        <f>U11/$AA$15</f>
        <v>#DIV/0!</v>
      </c>
      <c r="V14" s="149" t="e">
        <f>V11/$AA$15</f>
        <v>#DIV/0!</v>
      </c>
      <c r="W14" s="149" t="e">
        <f>W11/$AA$15</f>
        <v>#DIV/0!</v>
      </c>
      <c r="X14" s="149" t="e">
        <f>X11/$AA$15</f>
        <v>#DIV/0!</v>
      </c>
      <c r="Y14" s="149" t="e">
        <f>Y11/$AA$15</f>
        <v>#DIV/0!</v>
      </c>
      <c r="Z14" s="149" t="e">
        <f>Z11/$AA$15</f>
        <v>#DIV/0!</v>
      </c>
      <c r="AA14" s="149">
        <f>AA12/$AA$12</f>
        <v>1</v>
      </c>
      <c r="AB14" s="62"/>
      <c r="AC14" s="109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5"/>
  <sheetViews>
    <sheetView showGridLines="0" zoomScalePageLayoutView="0" workbookViewId="0" topLeftCell="A1">
      <pane xSplit="2" ySplit="11" topLeftCell="S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A14" sqref="AA14"/>
    </sheetView>
  </sheetViews>
  <sheetFormatPr defaultColWidth="9.140625" defaultRowHeight="12.75"/>
  <cols>
    <col min="1" max="1" width="11.8515625" style="5" customWidth="1"/>
    <col min="2" max="2" width="34.28125" style="6" customWidth="1"/>
    <col min="3" max="3" width="7.140625" style="6" customWidth="1"/>
    <col min="4" max="4" width="7.7109375" style="6" customWidth="1"/>
    <col min="5" max="5" width="6.57421875" style="71" customWidth="1"/>
    <col min="6" max="6" width="11.28125" style="54" customWidth="1"/>
    <col min="7" max="7" width="16.28125" style="3" bestFit="1" customWidth="1"/>
    <col min="8" max="8" width="10.8515625" style="4" hidden="1" customWidth="1"/>
    <col min="9" max="9" width="5.57421875" style="63" bestFit="1" customWidth="1"/>
    <col min="10" max="10" width="9.28125" style="63" customWidth="1"/>
    <col min="11" max="11" width="10.28125" style="63" customWidth="1"/>
    <col min="12" max="14" width="13.28125" style="64" customWidth="1"/>
    <col min="15" max="15" width="10.28125" style="64" customWidth="1"/>
    <col min="16" max="16" width="9.7109375" style="64" customWidth="1"/>
    <col min="17" max="18" width="11.8515625" style="64" customWidth="1"/>
    <col min="19" max="19" width="10.7109375" style="64" customWidth="1"/>
    <col min="20" max="25" width="9.140625" style="64" customWidth="1"/>
    <col min="26" max="27" width="10.28125" style="64" customWidth="1"/>
    <col min="28" max="28" width="2.7109375" style="64" customWidth="1"/>
    <col min="29" max="16384" width="9.140625" style="64" customWidth="1"/>
  </cols>
  <sheetData>
    <row r="2" spans="1:5" ht="17.25">
      <c r="A2" s="1" t="s">
        <v>53</v>
      </c>
      <c r="B2" s="2"/>
      <c r="C2" s="2"/>
      <c r="D2" s="2"/>
      <c r="E2" s="69"/>
    </row>
    <row r="3" spans="1:5" ht="17.25">
      <c r="A3" s="1" t="s">
        <v>81</v>
      </c>
      <c r="B3" s="2"/>
      <c r="C3" s="2"/>
      <c r="D3" s="2"/>
      <c r="E3" s="69"/>
    </row>
    <row r="5" spans="1:11" s="11" customFormat="1" ht="16.5">
      <c r="A5" s="7" t="s">
        <v>79</v>
      </c>
      <c r="B5" s="8"/>
      <c r="C5" s="8"/>
      <c r="D5" s="8"/>
      <c r="E5" s="70"/>
      <c r="F5" s="55"/>
      <c r="G5" s="9"/>
      <c r="H5" s="10"/>
      <c r="I5" s="62"/>
      <c r="J5" s="62"/>
      <c r="K5" s="62"/>
    </row>
    <row r="6" spans="1:9" s="11" customFormat="1" ht="14.25">
      <c r="A6" s="12" t="s">
        <v>82</v>
      </c>
      <c r="B6" s="8"/>
      <c r="C6" s="8"/>
      <c r="D6" s="8"/>
      <c r="E6" s="70"/>
      <c r="F6" s="56"/>
      <c r="G6" s="9"/>
      <c r="H6" s="78">
        <v>1.95</v>
      </c>
      <c r="I6" s="62"/>
    </row>
    <row r="7" spans="1:29" s="11" customFormat="1" ht="14.25">
      <c r="A7" s="12"/>
      <c r="B7" s="8"/>
      <c r="C7" s="8"/>
      <c r="D7" s="8"/>
      <c r="E7" s="70"/>
      <c r="F7" s="56"/>
      <c r="G7" s="139" t="s">
        <v>99</v>
      </c>
      <c r="H7" s="140"/>
      <c r="I7" s="141"/>
      <c r="J7" s="143"/>
      <c r="K7" s="143"/>
      <c r="L7" s="143"/>
      <c r="M7" s="143"/>
      <c r="N7" s="143"/>
      <c r="O7" s="143"/>
      <c r="P7" s="143" t="s">
        <v>103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C7" s="142" t="s">
        <v>101</v>
      </c>
    </row>
    <row r="8" spans="1:29" s="11" customFormat="1" ht="14.25">
      <c r="A8" s="12"/>
      <c r="B8" s="8"/>
      <c r="C8" s="8"/>
      <c r="D8" s="8"/>
      <c r="E8" s="70"/>
      <c r="F8" s="56"/>
      <c r="G8" s="139" t="s">
        <v>100</v>
      </c>
      <c r="H8" s="140"/>
      <c r="I8" s="141"/>
      <c r="J8" s="143"/>
      <c r="K8" s="143"/>
      <c r="L8" s="143"/>
      <c r="M8" s="143"/>
      <c r="N8" s="143"/>
      <c r="O8" s="143"/>
      <c r="P8" s="143" t="s">
        <v>104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C8" s="142" t="s">
        <v>102</v>
      </c>
    </row>
    <row r="9" spans="10:31" ht="15" thickBot="1">
      <c r="J9" s="96" t="s">
        <v>71</v>
      </c>
      <c r="K9" s="96" t="s">
        <v>72</v>
      </c>
      <c r="L9" s="96" t="s">
        <v>72</v>
      </c>
      <c r="M9" s="96" t="s">
        <v>72</v>
      </c>
      <c r="N9" s="96" t="s">
        <v>80</v>
      </c>
      <c r="O9" s="96" t="s">
        <v>92</v>
      </c>
      <c r="P9" s="96" t="s">
        <v>71</v>
      </c>
      <c r="Q9" s="96" t="s">
        <v>73</v>
      </c>
      <c r="R9" s="96" t="s">
        <v>72</v>
      </c>
      <c r="S9" s="96" t="s">
        <v>72</v>
      </c>
      <c r="T9" s="96" t="s">
        <v>71</v>
      </c>
      <c r="U9" s="96" t="s">
        <v>72</v>
      </c>
      <c r="V9" s="96"/>
      <c r="W9" s="96" t="s">
        <v>72</v>
      </c>
      <c r="X9" s="96" t="s">
        <v>72</v>
      </c>
      <c r="Y9" s="96" t="s">
        <v>72</v>
      </c>
      <c r="Z9" s="97" t="s">
        <v>71</v>
      </c>
      <c r="AA9" s="100" t="s">
        <v>72</v>
      </c>
      <c r="AB9" s="11"/>
      <c r="AC9" s="96" t="s">
        <v>71</v>
      </c>
      <c r="AD9" s="65"/>
      <c r="AE9" s="11"/>
    </row>
    <row r="10" spans="1:31" s="65" customFormat="1" ht="86.25" thickBot="1">
      <c r="A10" s="33" t="s">
        <v>3</v>
      </c>
      <c r="B10" s="111" t="s">
        <v>52</v>
      </c>
      <c r="C10" s="111" t="s">
        <v>59</v>
      </c>
      <c r="D10" s="111" t="s">
        <v>96</v>
      </c>
      <c r="E10" s="112" t="s">
        <v>18</v>
      </c>
      <c r="F10" s="113" t="s">
        <v>4</v>
      </c>
      <c r="G10" s="111" t="s">
        <v>5</v>
      </c>
      <c r="H10" s="114" t="s">
        <v>6</v>
      </c>
      <c r="J10" s="115" t="s">
        <v>76</v>
      </c>
      <c r="K10" s="115" t="s">
        <v>77</v>
      </c>
      <c r="L10" s="116" t="s">
        <v>62</v>
      </c>
      <c r="M10" s="116" t="s">
        <v>68</v>
      </c>
      <c r="N10" s="116" t="s">
        <v>70</v>
      </c>
      <c r="O10" s="116" t="s">
        <v>61</v>
      </c>
      <c r="P10" s="116" t="s">
        <v>63</v>
      </c>
      <c r="Q10" s="116" t="s">
        <v>64</v>
      </c>
      <c r="R10" s="116" t="s">
        <v>84</v>
      </c>
      <c r="S10" s="116" t="s">
        <v>69</v>
      </c>
      <c r="T10" s="116" t="s">
        <v>67</v>
      </c>
      <c r="U10" s="116" t="s">
        <v>66</v>
      </c>
      <c r="V10" s="116" t="s">
        <v>95</v>
      </c>
      <c r="W10" s="116" t="s">
        <v>65</v>
      </c>
      <c r="X10" s="116" t="s">
        <v>85</v>
      </c>
      <c r="Y10" s="116" t="s">
        <v>75</v>
      </c>
      <c r="Z10" s="117" t="s">
        <v>94</v>
      </c>
      <c r="AA10" s="116" t="s">
        <v>74</v>
      </c>
      <c r="AB10" s="11"/>
      <c r="AC10" s="116" t="s">
        <v>93</v>
      </c>
      <c r="AD10" s="64"/>
      <c r="AE10" s="64"/>
    </row>
    <row r="11" spans="1:30" ht="15" thickBot="1">
      <c r="A11" s="110"/>
      <c r="B11" s="130" t="s">
        <v>88</v>
      </c>
      <c r="C11" s="131"/>
      <c r="D11" s="132"/>
      <c r="E11" s="132"/>
      <c r="F11" s="132"/>
      <c r="G11" s="132"/>
      <c r="H11" s="132"/>
      <c r="I11" s="65"/>
      <c r="J11" s="133">
        <f>375000*0.25</f>
        <v>93750</v>
      </c>
      <c r="K11" s="134">
        <f>1000000*0.94</f>
        <v>940000</v>
      </c>
      <c r="L11" s="134">
        <v>992000</v>
      </c>
      <c r="M11" s="134">
        <f>500000*1.54</f>
        <v>770000</v>
      </c>
      <c r="N11" s="134">
        <f>500000*1.95*0.25</f>
        <v>243750</v>
      </c>
      <c r="O11" s="134">
        <f>700000*1.95</f>
        <v>1365000</v>
      </c>
      <c r="P11" s="134">
        <f>1000000*0.25</f>
        <v>250000</v>
      </c>
      <c r="Q11" s="134">
        <v>19800</v>
      </c>
      <c r="R11" s="134">
        <v>200000</v>
      </c>
      <c r="S11" s="134">
        <f>769000</f>
        <v>769000</v>
      </c>
      <c r="T11" s="134">
        <f>200000*1.55*0.25</f>
        <v>77500</v>
      </c>
      <c r="U11" s="134">
        <f>75000*1.55</f>
        <v>116250</v>
      </c>
      <c r="V11" s="134">
        <v>648714</v>
      </c>
      <c r="W11" s="134">
        <v>150000</v>
      </c>
      <c r="X11" s="134">
        <f>200000*1.54</f>
        <v>308000</v>
      </c>
      <c r="Y11" s="134">
        <v>100000</v>
      </c>
      <c r="Z11" s="134">
        <v>220537</v>
      </c>
      <c r="AA11" s="120">
        <f>SUM(D11:Z11)</f>
        <v>7264301</v>
      </c>
      <c r="AB11" s="135"/>
      <c r="AC11" s="120">
        <f>94000</f>
        <v>94000</v>
      </c>
      <c r="AD11" s="99">
        <f>G85-AA11</f>
        <v>-97498.78000000026</v>
      </c>
    </row>
    <row r="12" spans="1:30" ht="14.25">
      <c r="A12" s="110"/>
      <c r="B12" s="127" t="s">
        <v>86</v>
      </c>
      <c r="C12" s="128"/>
      <c r="D12" s="106"/>
      <c r="E12" s="106"/>
      <c r="F12" s="106"/>
      <c r="G12" s="106"/>
      <c r="H12" s="106"/>
      <c r="I12" s="65"/>
      <c r="J12" s="105">
        <f>J11</f>
        <v>93750</v>
      </c>
      <c r="K12" s="105"/>
      <c r="L12" s="105"/>
      <c r="M12" s="105"/>
      <c r="N12" s="105"/>
      <c r="O12" s="105">
        <f>O11</f>
        <v>1365000</v>
      </c>
      <c r="P12" s="105">
        <f>P11</f>
        <v>250000</v>
      </c>
      <c r="Q12" s="105">
        <f>Q11</f>
        <v>19800</v>
      </c>
      <c r="R12" s="105">
        <f>R11</f>
        <v>200000</v>
      </c>
      <c r="S12" s="105"/>
      <c r="T12" s="105">
        <f aca="true" t="shared" si="0" ref="T12:Z12">T11</f>
        <v>77500</v>
      </c>
      <c r="U12" s="105">
        <f t="shared" si="0"/>
        <v>116250</v>
      </c>
      <c r="V12" s="105">
        <f t="shared" si="0"/>
        <v>648714</v>
      </c>
      <c r="W12" s="105">
        <f t="shared" si="0"/>
        <v>150000</v>
      </c>
      <c r="X12" s="105"/>
      <c r="Y12" s="105">
        <f t="shared" si="0"/>
        <v>100000</v>
      </c>
      <c r="Z12" s="105">
        <f t="shared" si="0"/>
        <v>220537</v>
      </c>
      <c r="AA12" s="129">
        <f>SUM(D12:Z12)</f>
        <v>3241551</v>
      </c>
      <c r="AB12" s="11"/>
      <c r="AC12" s="129">
        <f>AC11</f>
        <v>94000</v>
      </c>
      <c r="AD12" s="99"/>
    </row>
    <row r="13" spans="1:30" ht="15" thickBot="1">
      <c r="A13" s="110"/>
      <c r="B13" s="121" t="s">
        <v>87</v>
      </c>
      <c r="C13" s="122"/>
      <c r="D13" s="123"/>
      <c r="E13" s="123"/>
      <c r="F13" s="123"/>
      <c r="G13" s="123"/>
      <c r="H13" s="123"/>
      <c r="I13" s="65"/>
      <c r="J13" s="124"/>
      <c r="K13" s="124">
        <f>K11</f>
        <v>940000</v>
      </c>
      <c r="L13" s="124">
        <f>L11</f>
        <v>992000</v>
      </c>
      <c r="M13" s="124">
        <f>M11</f>
        <v>770000</v>
      </c>
      <c r="N13" s="124">
        <f>N11</f>
        <v>243750</v>
      </c>
      <c r="O13" s="124"/>
      <c r="P13" s="124"/>
      <c r="Q13" s="124"/>
      <c r="R13" s="124"/>
      <c r="S13" s="124">
        <f>S11</f>
        <v>769000</v>
      </c>
      <c r="T13" s="124"/>
      <c r="U13" s="124"/>
      <c r="V13" s="124"/>
      <c r="W13" s="124"/>
      <c r="X13" s="124">
        <f>X11</f>
        <v>308000</v>
      </c>
      <c r="Y13" s="124"/>
      <c r="Z13" s="124"/>
      <c r="AA13" s="125">
        <f>SUM(D13:Z13)</f>
        <v>4022750</v>
      </c>
      <c r="AB13" s="126"/>
      <c r="AC13" s="95"/>
      <c r="AD13" s="99"/>
    </row>
    <row r="14" spans="1:37" ht="14.25">
      <c r="A14" s="34"/>
      <c r="B14" s="144"/>
      <c r="C14" s="145"/>
      <c r="D14" s="146"/>
      <c r="E14" s="146"/>
      <c r="F14" s="146"/>
      <c r="G14" s="147" t="s">
        <v>105</v>
      </c>
      <c r="H14" s="148"/>
      <c r="I14" s="65"/>
      <c r="J14" s="149">
        <f>J11/$AA$11</f>
        <v>0.012905577563484772</v>
      </c>
      <c r="K14" s="149">
        <f aca="true" t="shared" si="1" ref="K14:AA14">K11/$AA$11</f>
        <v>0.129399924369874</v>
      </c>
      <c r="L14" s="149">
        <f t="shared" si="1"/>
        <v>0.13655821805842022</v>
      </c>
      <c r="M14" s="149">
        <f t="shared" si="1"/>
        <v>0.10599781038808827</v>
      </c>
      <c r="N14" s="149">
        <f t="shared" si="1"/>
        <v>0.03355450166506041</v>
      </c>
      <c r="O14" s="149">
        <f t="shared" si="1"/>
        <v>0.1879052093243383</v>
      </c>
      <c r="P14" s="149">
        <f t="shared" si="1"/>
        <v>0.034414873502626064</v>
      </c>
      <c r="Q14" s="149">
        <f t="shared" si="1"/>
        <v>0.002725657981407984</v>
      </c>
      <c r="R14" s="149">
        <f t="shared" si="1"/>
        <v>0.02753189880210085</v>
      </c>
      <c r="S14" s="149">
        <f t="shared" si="1"/>
        <v>0.10586015089407777</v>
      </c>
      <c r="T14" s="149">
        <f t="shared" si="1"/>
        <v>0.010668610785814079</v>
      </c>
      <c r="U14" s="149">
        <f t="shared" si="1"/>
        <v>0.01600291617872112</v>
      </c>
      <c r="V14" s="149">
        <f t="shared" si="1"/>
        <v>0.08930164099753025</v>
      </c>
      <c r="W14" s="149">
        <f t="shared" si="1"/>
        <v>0.020648924101575636</v>
      </c>
      <c r="X14" s="149">
        <f t="shared" si="1"/>
        <v>0.04239912415523531</v>
      </c>
      <c r="Y14" s="149">
        <f t="shared" si="1"/>
        <v>0.013765949401050425</v>
      </c>
      <c r="Z14" s="149">
        <f t="shared" si="1"/>
        <v>0.030359011830594574</v>
      </c>
      <c r="AA14" s="149">
        <f t="shared" si="1"/>
        <v>1</v>
      </c>
      <c r="AB14" s="62"/>
      <c r="AC14" s="109" t="s">
        <v>106</v>
      </c>
      <c r="AD14" s="101"/>
      <c r="AE14" s="63"/>
      <c r="AF14" s="63"/>
      <c r="AG14" s="63"/>
      <c r="AH14" s="63"/>
      <c r="AI14" s="63"/>
      <c r="AJ14" s="63"/>
      <c r="AK14" s="63"/>
    </row>
    <row r="15" spans="1:37" ht="14.25">
      <c r="A15" s="34"/>
      <c r="B15" s="118"/>
      <c r="C15" s="119"/>
      <c r="D15" s="104"/>
      <c r="E15" s="104"/>
      <c r="F15" s="104"/>
      <c r="G15" s="104"/>
      <c r="H15" s="107"/>
      <c r="I15" s="65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94">
        <f aca="true" t="shared" si="2" ref="AA15:AA21">SUM(J15:Z15)</f>
        <v>0</v>
      </c>
      <c r="AB15" s="62"/>
      <c r="AC15" s="18"/>
      <c r="AD15" s="101"/>
      <c r="AE15" s="63"/>
      <c r="AF15" s="63"/>
      <c r="AG15" s="63"/>
      <c r="AH15" s="63"/>
      <c r="AI15" s="63"/>
      <c r="AJ15" s="63"/>
      <c r="AK15" s="63"/>
    </row>
    <row r="16" spans="1:29" ht="14.25">
      <c r="A16" s="81"/>
      <c r="B16" s="16" t="s">
        <v>36</v>
      </c>
      <c r="C16" s="16"/>
      <c r="D16" s="17"/>
      <c r="E16" s="53"/>
      <c r="F16" s="57"/>
      <c r="G16" s="102">
        <v>400000</v>
      </c>
      <c r="H16" s="103">
        <f>G16/$H$6</f>
        <v>205128.20512820513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>
        <f t="shared" si="2"/>
        <v>0</v>
      </c>
      <c r="AB16" s="11"/>
      <c r="AC16" s="18"/>
    </row>
    <row r="17" spans="1:29" ht="14.25">
      <c r="A17" s="81"/>
      <c r="B17" s="16" t="s">
        <v>38</v>
      </c>
      <c r="C17" s="16"/>
      <c r="D17" s="17"/>
      <c r="E17" s="53"/>
      <c r="F17" s="57"/>
      <c r="G17" s="98">
        <v>800000</v>
      </c>
      <c r="H17" s="36">
        <f>G17/$H$6</f>
        <v>410256.41025641025</v>
      </c>
      <c r="J17" s="18"/>
      <c r="K17" s="18"/>
      <c r="L17" s="18"/>
      <c r="M17" s="18"/>
      <c r="N17" s="18"/>
      <c r="O17" s="18"/>
      <c r="P17" s="9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4">
        <f t="shared" si="2"/>
        <v>0</v>
      </c>
      <c r="AB17" s="11"/>
      <c r="AC17" s="18"/>
    </row>
    <row r="18" spans="1:29" ht="14.25">
      <c r="A18" s="81"/>
      <c r="B18" s="16" t="s">
        <v>37</v>
      </c>
      <c r="C18" s="16"/>
      <c r="D18" s="17"/>
      <c r="E18" s="53"/>
      <c r="F18" s="57"/>
      <c r="G18" s="98">
        <v>1600000</v>
      </c>
      <c r="H18" s="36">
        <f>G18/$H$6</f>
        <v>820512.8205128205</v>
      </c>
      <c r="J18" s="18"/>
      <c r="K18" s="18"/>
      <c r="L18" s="18"/>
      <c r="M18" s="18"/>
      <c r="N18" s="18"/>
      <c r="O18" s="18"/>
      <c r="P18" s="9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4">
        <f t="shared" si="2"/>
        <v>0</v>
      </c>
      <c r="AB18" s="11"/>
      <c r="AC18" s="18"/>
    </row>
    <row r="19" spans="1:29" ht="14.25">
      <c r="A19" s="81"/>
      <c r="B19" s="6" t="s">
        <v>39</v>
      </c>
      <c r="C19" s="3"/>
      <c r="D19" s="19"/>
      <c r="E19" s="53"/>
      <c r="F19" s="57"/>
      <c r="G19" s="98">
        <v>1200000</v>
      </c>
      <c r="H19" s="36">
        <f>G19/$H$6</f>
        <v>615384.6153846154</v>
      </c>
      <c r="J19" s="18"/>
      <c r="K19" s="18"/>
      <c r="L19" s="18"/>
      <c r="M19" s="18"/>
      <c r="N19" s="18"/>
      <c r="O19" s="18"/>
      <c r="P19" s="93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4">
        <f t="shared" si="2"/>
        <v>0</v>
      </c>
      <c r="AB19" s="11"/>
      <c r="AC19" s="18"/>
    </row>
    <row r="20" spans="1:29" ht="14.25">
      <c r="A20" s="81"/>
      <c r="B20" s="19" t="s">
        <v>40</v>
      </c>
      <c r="C20" s="136"/>
      <c r="D20" s="19"/>
      <c r="E20" s="73"/>
      <c r="F20" s="57"/>
      <c r="G20" s="98">
        <v>880000</v>
      </c>
      <c r="H20" s="36">
        <f>G20/$H$6</f>
        <v>451282.0512820513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4">
        <f t="shared" si="2"/>
        <v>0</v>
      </c>
      <c r="AB20" s="11"/>
      <c r="AC20" s="18"/>
    </row>
    <row r="21" spans="1:29" ht="14.25">
      <c r="A21" s="81"/>
      <c r="B21" s="19"/>
      <c r="C21" s="136"/>
      <c r="D21" s="19"/>
      <c r="E21" s="73"/>
      <c r="F21" s="57"/>
      <c r="G21" s="15"/>
      <c r="H21" s="36"/>
      <c r="J21" s="18">
        <f aca="true" t="shared" si="3" ref="J21:P22">J$11/$AA$11*$G21</f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/>
      <c r="R21" s="18">
        <f aca="true" t="shared" si="4" ref="R21:Z22">R$11/$AA$11*$G21</f>
        <v>0</v>
      </c>
      <c r="S21" s="18">
        <f t="shared" si="4"/>
        <v>0</v>
      </c>
      <c r="T21" s="18">
        <f t="shared" si="4"/>
        <v>0</v>
      </c>
      <c r="U21" s="18">
        <f t="shared" si="4"/>
        <v>0</v>
      </c>
      <c r="V21" s="18"/>
      <c r="W21" s="18">
        <f t="shared" si="4"/>
        <v>0</v>
      </c>
      <c r="X21" s="18">
        <f t="shared" si="4"/>
        <v>0</v>
      </c>
      <c r="Y21" s="18">
        <f t="shared" si="4"/>
        <v>0</v>
      </c>
      <c r="Z21" s="18">
        <f t="shared" si="4"/>
        <v>0</v>
      </c>
      <c r="AA21" s="24">
        <f t="shared" si="2"/>
        <v>0</v>
      </c>
      <c r="AB21" s="11"/>
      <c r="AC21" s="18">
        <f>AC$11/$AA$11*$G21</f>
        <v>0</v>
      </c>
    </row>
    <row r="22" spans="1:29" ht="14.25">
      <c r="A22" s="37"/>
      <c r="B22" s="20" t="s">
        <v>7</v>
      </c>
      <c r="C22" s="84"/>
      <c r="D22" s="20"/>
      <c r="E22" s="74"/>
      <c r="F22" s="58"/>
      <c r="G22" s="31">
        <f>SUM(G16:G20)</f>
        <v>4880000</v>
      </c>
      <c r="H22" s="38">
        <f>SUM(H16:H20)</f>
        <v>2502564.102564103</v>
      </c>
      <c r="I22" s="92">
        <f>G22/$G$81</f>
        <v>0.7285815681404418</v>
      </c>
      <c r="J22" s="31">
        <f t="shared" si="3"/>
        <v>62979.21850980569</v>
      </c>
      <c r="K22" s="31">
        <f t="shared" si="3"/>
        <v>631471.630924985</v>
      </c>
      <c r="L22" s="31">
        <f t="shared" si="3"/>
        <v>666404.1041250906</v>
      </c>
      <c r="M22" s="31">
        <f t="shared" si="3"/>
        <v>517269.3146938707</v>
      </c>
      <c r="N22" s="31">
        <f t="shared" si="3"/>
        <v>163745.9681254948</v>
      </c>
      <c r="O22" s="31">
        <f t="shared" si="3"/>
        <v>916977.4215027709</v>
      </c>
      <c r="P22" s="31">
        <f t="shared" si="3"/>
        <v>167944.5826928152</v>
      </c>
      <c r="Q22" s="31">
        <f>Q$11/$AA$11*$G22</f>
        <v>13301.210949270962</v>
      </c>
      <c r="R22" s="31">
        <f t="shared" si="4"/>
        <v>134355.66615425216</v>
      </c>
      <c r="S22" s="31">
        <f t="shared" si="4"/>
        <v>516597.5363630995</v>
      </c>
      <c r="T22" s="31">
        <f t="shared" si="4"/>
        <v>52062.8206347727</v>
      </c>
      <c r="U22" s="31">
        <f t="shared" si="4"/>
        <v>78094.23095215907</v>
      </c>
      <c r="V22" s="31">
        <f t="shared" si="4"/>
        <v>435792.00806794764</v>
      </c>
      <c r="W22" s="31">
        <f t="shared" si="4"/>
        <v>100766.7496156891</v>
      </c>
      <c r="X22" s="31">
        <f t="shared" si="4"/>
        <v>206907.7258775483</v>
      </c>
      <c r="Y22" s="31">
        <f t="shared" si="4"/>
        <v>67177.83307712608</v>
      </c>
      <c r="Z22" s="31">
        <f t="shared" si="4"/>
        <v>148151.97773330152</v>
      </c>
      <c r="AA22" s="31">
        <f>AA$11/$AA$11*$G22</f>
        <v>4880000</v>
      </c>
      <c r="AB22" s="11"/>
      <c r="AC22" s="31">
        <f>SUM(AC16:AC20)</f>
        <v>0</v>
      </c>
    </row>
    <row r="23" spans="1:29" ht="14.25">
      <c r="A23" s="39"/>
      <c r="B23" s="13"/>
      <c r="C23" s="85"/>
      <c r="D23" s="13"/>
      <c r="E23" s="23"/>
      <c r="F23" s="59"/>
      <c r="G23" s="15"/>
      <c r="H23" s="3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4"/>
      <c r="AB23" s="11"/>
      <c r="AC23" s="18">
        <f>AC$11/$AA$11*$G23</f>
        <v>0</v>
      </c>
    </row>
    <row r="24" spans="1:29" ht="14.25">
      <c r="A24" s="81"/>
      <c r="B24" s="14" t="s">
        <v>30</v>
      </c>
      <c r="C24" s="83"/>
      <c r="D24" s="83" t="s">
        <v>8</v>
      </c>
      <c r="E24" s="83">
        <v>6</v>
      </c>
      <c r="F24" s="60">
        <f>(820+750+1500+5350+2200)</f>
        <v>10620</v>
      </c>
      <c r="G24" s="18">
        <f aca="true" t="shared" si="5" ref="G24:G36">F24*E24</f>
        <v>63720</v>
      </c>
      <c r="H24" s="48">
        <f aca="true" t="shared" si="6" ref="H24:H36">G24/$H$6</f>
        <v>32676.923076923078</v>
      </c>
      <c r="I24" s="88"/>
      <c r="J24" s="18"/>
      <c r="K24" s="18"/>
      <c r="L24" s="18"/>
      <c r="M24" s="18"/>
      <c r="N24" s="18"/>
      <c r="O24" s="18"/>
      <c r="P24" s="93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4"/>
      <c r="AB24" s="11"/>
      <c r="AC24" s="18"/>
    </row>
    <row r="25" spans="1:29" ht="14.25">
      <c r="A25" s="81"/>
      <c r="B25" s="28" t="s">
        <v>31</v>
      </c>
      <c r="C25" s="86"/>
      <c r="D25" s="83" t="s">
        <v>8</v>
      </c>
      <c r="E25" s="86">
        <v>6</v>
      </c>
      <c r="F25" s="60">
        <v>2500</v>
      </c>
      <c r="G25" s="29">
        <f t="shared" si="5"/>
        <v>15000</v>
      </c>
      <c r="H25" s="48">
        <f t="shared" si="6"/>
        <v>7692.307692307692</v>
      </c>
      <c r="J25" s="18"/>
      <c r="K25" s="18"/>
      <c r="L25" s="18"/>
      <c r="M25" s="18"/>
      <c r="N25" s="18"/>
      <c r="O25" s="18"/>
      <c r="P25" s="93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4"/>
      <c r="AB25" s="11"/>
      <c r="AC25" s="18"/>
    </row>
    <row r="26" spans="1:29" ht="14.25">
      <c r="A26" s="81"/>
      <c r="B26" s="14" t="s">
        <v>2</v>
      </c>
      <c r="C26" s="83"/>
      <c r="D26" s="83" t="s">
        <v>8</v>
      </c>
      <c r="E26" s="83">
        <v>6</v>
      </c>
      <c r="F26" s="60">
        <v>2400</v>
      </c>
      <c r="G26" s="18">
        <f t="shared" si="5"/>
        <v>14400</v>
      </c>
      <c r="H26" s="48">
        <f t="shared" si="6"/>
        <v>7384.615384615385</v>
      </c>
      <c r="J26" s="18"/>
      <c r="K26" s="18"/>
      <c r="L26" s="18"/>
      <c r="M26" s="18"/>
      <c r="N26" s="18"/>
      <c r="O26" s="18"/>
      <c r="P26" s="93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4"/>
      <c r="AB26" s="11"/>
      <c r="AC26" s="18"/>
    </row>
    <row r="27" spans="1:29" ht="14.25">
      <c r="A27" s="81"/>
      <c r="B27" s="14" t="s">
        <v>1</v>
      </c>
      <c r="C27" s="83">
        <v>2</v>
      </c>
      <c r="D27" s="83" t="s">
        <v>8</v>
      </c>
      <c r="E27" s="83">
        <v>6</v>
      </c>
      <c r="F27" s="57">
        <v>8000</v>
      </c>
      <c r="G27" s="18">
        <f t="shared" si="5"/>
        <v>48000</v>
      </c>
      <c r="H27" s="36">
        <f t="shared" si="6"/>
        <v>24615.384615384617</v>
      </c>
      <c r="J27" s="18"/>
      <c r="K27" s="18"/>
      <c r="L27" s="18"/>
      <c r="M27" s="18"/>
      <c r="N27" s="18"/>
      <c r="O27" s="18"/>
      <c r="P27" s="93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4"/>
      <c r="AB27" s="11"/>
      <c r="AC27" s="18"/>
    </row>
    <row r="28" spans="1:29" ht="14.25">
      <c r="A28" s="81"/>
      <c r="B28" s="14" t="s">
        <v>89</v>
      </c>
      <c r="C28" s="83">
        <v>1</v>
      </c>
      <c r="D28" s="83" t="s">
        <v>8</v>
      </c>
      <c r="E28" s="83">
        <v>6</v>
      </c>
      <c r="F28" s="57">
        <v>53000</v>
      </c>
      <c r="G28" s="18">
        <f t="shared" si="5"/>
        <v>318000</v>
      </c>
      <c r="H28" s="36">
        <f t="shared" si="6"/>
        <v>163076.9230769231</v>
      </c>
      <c r="J28" s="18"/>
      <c r="K28" s="18"/>
      <c r="L28" s="18"/>
      <c r="M28" s="18"/>
      <c r="N28" s="18"/>
      <c r="O28" s="18"/>
      <c r="P28" s="93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4"/>
      <c r="AB28" s="11"/>
      <c r="AC28" s="18"/>
    </row>
    <row r="29" spans="1:29" ht="14.25">
      <c r="A29" s="81"/>
      <c r="B29" s="14" t="s">
        <v>44</v>
      </c>
      <c r="C29" s="83"/>
      <c r="D29" s="83" t="s">
        <v>8</v>
      </c>
      <c r="E29" s="83">
        <v>6</v>
      </c>
      <c r="F29" s="57">
        <v>6000</v>
      </c>
      <c r="G29" s="18">
        <f t="shared" si="5"/>
        <v>36000</v>
      </c>
      <c r="H29" s="36">
        <f t="shared" si="6"/>
        <v>18461.53846153846</v>
      </c>
      <c r="J29" s="18"/>
      <c r="K29" s="18"/>
      <c r="L29" s="18"/>
      <c r="M29" s="18"/>
      <c r="N29" s="18"/>
      <c r="O29" s="18"/>
      <c r="P29" s="93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4"/>
      <c r="AB29" s="11"/>
      <c r="AC29" s="18"/>
    </row>
    <row r="30" spans="1:29" ht="14.25">
      <c r="A30" s="81"/>
      <c r="B30" s="14" t="s">
        <v>90</v>
      </c>
      <c r="C30" s="83"/>
      <c r="D30" s="83" t="s">
        <v>8</v>
      </c>
      <c r="E30" s="83">
        <v>6</v>
      </c>
      <c r="F30" s="57">
        <v>3000</v>
      </c>
      <c r="G30" s="18">
        <f>F30*E30</f>
        <v>18000</v>
      </c>
      <c r="H30" s="36"/>
      <c r="J30" s="18"/>
      <c r="K30" s="18"/>
      <c r="L30" s="18"/>
      <c r="M30" s="18"/>
      <c r="N30" s="18"/>
      <c r="O30" s="18"/>
      <c r="P30" s="9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24"/>
      <c r="AB30" s="11"/>
      <c r="AC30" s="18"/>
    </row>
    <row r="31" spans="1:29" ht="14.25">
      <c r="A31" s="81"/>
      <c r="B31" s="14" t="s">
        <v>91</v>
      </c>
      <c r="C31" s="83"/>
      <c r="D31" s="83" t="s">
        <v>8</v>
      </c>
      <c r="E31" s="83">
        <v>6</v>
      </c>
      <c r="F31" s="57">
        <v>3000</v>
      </c>
      <c r="G31" s="18">
        <f>F31*E31</f>
        <v>18000</v>
      </c>
      <c r="H31" s="36"/>
      <c r="J31" s="18"/>
      <c r="K31" s="18"/>
      <c r="L31" s="18"/>
      <c r="M31" s="18"/>
      <c r="N31" s="18"/>
      <c r="O31" s="18"/>
      <c r="P31" s="93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4"/>
      <c r="AB31" s="11"/>
      <c r="AC31" s="18"/>
    </row>
    <row r="32" spans="1:29" ht="14.25">
      <c r="A32" s="81"/>
      <c r="B32" s="14" t="s">
        <v>45</v>
      </c>
      <c r="C32" s="83"/>
      <c r="D32" s="83" t="s">
        <v>8</v>
      </c>
      <c r="E32" s="83">
        <v>6</v>
      </c>
      <c r="F32" s="57">
        <v>1250</v>
      </c>
      <c r="G32" s="18">
        <f t="shared" si="5"/>
        <v>7500</v>
      </c>
      <c r="H32" s="36">
        <f t="shared" si="6"/>
        <v>3846.153846153846</v>
      </c>
      <c r="J32" s="18"/>
      <c r="K32" s="18"/>
      <c r="L32" s="18"/>
      <c r="M32" s="18"/>
      <c r="N32" s="18"/>
      <c r="O32" s="18"/>
      <c r="P32" s="9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24"/>
      <c r="AB32" s="11"/>
      <c r="AC32" s="18"/>
    </row>
    <row r="33" spans="1:29" ht="28.5">
      <c r="A33" s="81"/>
      <c r="B33" s="14" t="s">
        <v>42</v>
      </c>
      <c r="C33" s="83"/>
      <c r="D33" s="83" t="s">
        <v>8</v>
      </c>
      <c r="E33" s="83">
        <v>6</v>
      </c>
      <c r="F33" s="57">
        <v>30200</v>
      </c>
      <c r="G33" s="18">
        <f t="shared" si="5"/>
        <v>181200</v>
      </c>
      <c r="H33" s="36">
        <f t="shared" si="6"/>
        <v>92923.07692307692</v>
      </c>
      <c r="J33" s="18"/>
      <c r="K33" s="18"/>
      <c r="L33" s="18"/>
      <c r="M33" s="18"/>
      <c r="N33" s="18"/>
      <c r="O33" s="18"/>
      <c r="P33" s="93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24"/>
      <c r="AB33" s="11"/>
      <c r="AC33" s="18"/>
    </row>
    <row r="34" spans="1:29" ht="14.25">
      <c r="A34" s="81"/>
      <c r="B34" s="28" t="s">
        <v>33</v>
      </c>
      <c r="C34" s="86"/>
      <c r="D34" s="83" t="s">
        <v>8</v>
      </c>
      <c r="E34" s="86">
        <v>6</v>
      </c>
      <c r="F34" s="60">
        <v>3500</v>
      </c>
      <c r="G34" s="29">
        <f t="shared" si="5"/>
        <v>21000</v>
      </c>
      <c r="H34" s="48">
        <f t="shared" si="6"/>
        <v>10769.23076923077</v>
      </c>
      <c r="J34" s="18"/>
      <c r="K34" s="18"/>
      <c r="L34" s="18"/>
      <c r="M34" s="18"/>
      <c r="N34" s="18"/>
      <c r="O34" s="18"/>
      <c r="P34" s="93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24"/>
      <c r="AB34" s="11"/>
      <c r="AC34" s="18"/>
    </row>
    <row r="35" spans="1:29" ht="14.25">
      <c r="A35" s="81"/>
      <c r="B35" s="14" t="s">
        <v>43</v>
      </c>
      <c r="C35" s="83"/>
      <c r="D35" s="83" t="s">
        <v>8</v>
      </c>
      <c r="E35" s="83">
        <v>6</v>
      </c>
      <c r="F35" s="57">
        <v>1750</v>
      </c>
      <c r="G35" s="18">
        <f t="shared" si="5"/>
        <v>10500</v>
      </c>
      <c r="H35" s="36">
        <f t="shared" si="6"/>
        <v>5384.615384615385</v>
      </c>
      <c r="J35" s="18"/>
      <c r="K35" s="18"/>
      <c r="L35" s="18"/>
      <c r="M35" s="18"/>
      <c r="N35" s="18"/>
      <c r="O35" s="18"/>
      <c r="P35" s="93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4"/>
      <c r="AB35" s="11"/>
      <c r="AC35" s="18"/>
    </row>
    <row r="36" spans="1:29" ht="14.25">
      <c r="A36" s="81"/>
      <c r="B36" s="14" t="s">
        <v>46</v>
      </c>
      <c r="C36" s="83"/>
      <c r="D36" s="83" t="s">
        <v>8</v>
      </c>
      <c r="E36" s="83">
        <v>6</v>
      </c>
      <c r="F36" s="60">
        <v>2796</v>
      </c>
      <c r="G36" s="18">
        <f t="shared" si="5"/>
        <v>16776</v>
      </c>
      <c r="H36" s="36">
        <f t="shared" si="6"/>
        <v>8603.076923076924</v>
      </c>
      <c r="J36" s="18"/>
      <c r="K36" s="18"/>
      <c r="L36" s="18"/>
      <c r="M36" s="18"/>
      <c r="N36" s="18"/>
      <c r="O36" s="18"/>
      <c r="P36" s="93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4"/>
      <c r="AB36" s="11"/>
      <c r="AC36" s="18"/>
    </row>
    <row r="37" spans="1:29" ht="14.25">
      <c r="A37" s="39"/>
      <c r="B37" s="17"/>
      <c r="C37" s="15"/>
      <c r="D37" s="15"/>
      <c r="E37" s="15"/>
      <c r="F37" s="57"/>
      <c r="G37" s="15"/>
      <c r="H37" s="3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4"/>
      <c r="AB37" s="11"/>
      <c r="AC37" s="18"/>
    </row>
    <row r="38" spans="1:29" ht="14.25">
      <c r="A38" s="37"/>
      <c r="B38" s="20" t="s">
        <v>9</v>
      </c>
      <c r="C38" s="84"/>
      <c r="D38" s="20"/>
      <c r="E38" s="84"/>
      <c r="F38" s="58"/>
      <c r="G38" s="32">
        <f>SUM(G23:G37)</f>
        <v>768096</v>
      </c>
      <c r="H38" s="38">
        <f>SUM(H23:H37)</f>
        <v>375433.8461538462</v>
      </c>
      <c r="I38" s="92">
        <f>G38/$G$81</f>
        <v>0.11467635003327886</v>
      </c>
      <c r="J38" s="31">
        <f>J$11/$AA$11*$G38</f>
        <v>9912.7225042024</v>
      </c>
      <c r="K38" s="31">
        <f aca="true" t="shared" si="7" ref="K38:AA38">K$11/$AA$11*$G38</f>
        <v>99391.56430880273</v>
      </c>
      <c r="L38" s="31">
        <f t="shared" si="7"/>
        <v>104889.82105780033</v>
      </c>
      <c r="M38" s="31">
        <f t="shared" si="7"/>
        <v>81416.49416784904</v>
      </c>
      <c r="N38" s="31">
        <f t="shared" si="7"/>
        <v>25773.07851092624</v>
      </c>
      <c r="O38" s="31">
        <f t="shared" si="7"/>
        <v>144329.23966118693</v>
      </c>
      <c r="P38" s="31">
        <f t="shared" si="7"/>
        <v>26433.92667787307</v>
      </c>
      <c r="Q38" s="31">
        <f t="shared" si="7"/>
        <v>2093.5669928875473</v>
      </c>
      <c r="R38" s="31">
        <f t="shared" si="7"/>
        <v>21147.141342298455</v>
      </c>
      <c r="S38" s="31">
        <f t="shared" si="7"/>
        <v>81310.75846113756</v>
      </c>
      <c r="T38" s="31">
        <f t="shared" si="7"/>
        <v>8194.51727014065</v>
      </c>
      <c r="U38" s="31">
        <f t="shared" si="7"/>
        <v>12291.775905210978</v>
      </c>
      <c r="V38" s="31">
        <f t="shared" si="7"/>
        <v>68592.233243639</v>
      </c>
      <c r="W38" s="31">
        <f t="shared" si="7"/>
        <v>15860.35600672384</v>
      </c>
      <c r="X38" s="31">
        <f t="shared" si="7"/>
        <v>32566.59766713962</v>
      </c>
      <c r="Y38" s="31">
        <f t="shared" si="7"/>
        <v>10573.570671149228</v>
      </c>
      <c r="Z38" s="31">
        <f t="shared" si="7"/>
        <v>23318.63555103237</v>
      </c>
      <c r="AA38" s="31">
        <f t="shared" si="7"/>
        <v>768096</v>
      </c>
      <c r="AB38" s="11"/>
      <c r="AC38" s="32">
        <f>SUM(AC23:AC37)</f>
        <v>0</v>
      </c>
    </row>
    <row r="39" spans="1:29" ht="14.25">
      <c r="A39" s="39"/>
      <c r="B39" s="13"/>
      <c r="C39" s="85"/>
      <c r="D39" s="13"/>
      <c r="E39" s="85"/>
      <c r="F39" s="57"/>
      <c r="G39" s="15"/>
      <c r="H39" s="3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4"/>
      <c r="AB39" s="11"/>
      <c r="AC39" s="18">
        <f>AC$11/$AA$11*$G39</f>
        <v>0</v>
      </c>
    </row>
    <row r="40" spans="1:29" ht="14.25">
      <c r="A40" s="87"/>
      <c r="B40" s="13" t="s">
        <v>10</v>
      </c>
      <c r="C40" s="85"/>
      <c r="D40" s="14"/>
      <c r="E40" s="83"/>
      <c r="F40" s="57"/>
      <c r="G40" s="15"/>
      <c r="H40" s="3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4"/>
      <c r="AB40" s="11"/>
      <c r="AC40" s="18">
        <f>AC$11/$AA$11*$G40</f>
        <v>0</v>
      </c>
    </row>
    <row r="41" spans="1:29" ht="14.25">
      <c r="A41" s="81"/>
      <c r="B41" s="14" t="s">
        <v>22</v>
      </c>
      <c r="C41" s="83">
        <v>1</v>
      </c>
      <c r="D41" s="83" t="s">
        <v>8</v>
      </c>
      <c r="E41" s="83">
        <v>6</v>
      </c>
      <c r="F41" s="57">
        <v>5200</v>
      </c>
      <c r="G41" s="18">
        <f aca="true" t="shared" si="8" ref="G41:G53">F41*E41</f>
        <v>31200</v>
      </c>
      <c r="H41" s="40">
        <f aca="true" t="shared" si="9" ref="H41:H53">G41/$H$6</f>
        <v>16000</v>
      </c>
      <c r="J41" s="18"/>
      <c r="K41" s="18"/>
      <c r="L41" s="18"/>
      <c r="M41" s="18"/>
      <c r="N41" s="18"/>
      <c r="O41" s="18"/>
      <c r="P41" s="93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4"/>
      <c r="AB41" s="11"/>
      <c r="AC41" s="18"/>
    </row>
    <row r="42" spans="1:29" ht="14.25">
      <c r="A42" s="81"/>
      <c r="B42" s="14" t="s">
        <v>60</v>
      </c>
      <c r="C42" s="83">
        <v>7</v>
      </c>
      <c r="D42" s="83" t="s">
        <v>8</v>
      </c>
      <c r="E42" s="83">
        <v>2</v>
      </c>
      <c r="F42" s="57">
        <v>3500</v>
      </c>
      <c r="G42" s="18">
        <f>F42*E42</f>
        <v>7000</v>
      </c>
      <c r="H42" s="40">
        <f t="shared" si="9"/>
        <v>3589.74358974359</v>
      </c>
      <c r="J42" s="18"/>
      <c r="K42" s="18"/>
      <c r="L42" s="18"/>
      <c r="M42" s="18"/>
      <c r="N42" s="18"/>
      <c r="O42" s="18"/>
      <c r="P42" s="93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4"/>
      <c r="AB42" s="11"/>
      <c r="AC42" s="18"/>
    </row>
    <row r="43" spans="1:29" ht="14.25">
      <c r="A43" s="81"/>
      <c r="B43" s="14" t="s">
        <v>56</v>
      </c>
      <c r="C43" s="83">
        <v>2</v>
      </c>
      <c r="D43" s="83" t="s">
        <v>8</v>
      </c>
      <c r="E43" s="83">
        <v>6</v>
      </c>
      <c r="F43" s="57">
        <f>17500</f>
        <v>17500</v>
      </c>
      <c r="G43" s="18">
        <f t="shared" si="8"/>
        <v>105000</v>
      </c>
      <c r="H43" s="40">
        <f t="shared" si="9"/>
        <v>53846.153846153844</v>
      </c>
      <c r="J43" s="18"/>
      <c r="K43" s="18"/>
      <c r="L43" s="18"/>
      <c r="M43" s="18"/>
      <c r="N43" s="18"/>
      <c r="O43" s="18"/>
      <c r="P43" s="93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4"/>
      <c r="AB43" s="11"/>
      <c r="AC43" s="18"/>
    </row>
    <row r="44" spans="1:29" ht="14.25">
      <c r="A44" s="81"/>
      <c r="B44" s="14" t="s">
        <v>57</v>
      </c>
      <c r="C44" s="83">
        <v>2</v>
      </c>
      <c r="D44" s="83"/>
      <c r="E44" s="83"/>
      <c r="F44" s="57"/>
      <c r="G44" s="18"/>
      <c r="H44" s="40"/>
      <c r="J44" s="18"/>
      <c r="K44" s="18"/>
      <c r="L44" s="18"/>
      <c r="M44" s="18"/>
      <c r="N44" s="18"/>
      <c r="O44" s="18"/>
      <c r="P44" s="93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4"/>
      <c r="AB44" s="11"/>
      <c r="AC44" s="18"/>
    </row>
    <row r="45" spans="1:29" ht="14.25">
      <c r="A45" s="81"/>
      <c r="B45" s="14" t="s">
        <v>58</v>
      </c>
      <c r="C45" s="83">
        <v>2</v>
      </c>
      <c r="D45" s="83"/>
      <c r="E45" s="83"/>
      <c r="F45" s="57"/>
      <c r="G45" s="18"/>
      <c r="H45" s="40"/>
      <c r="J45" s="18"/>
      <c r="K45" s="18"/>
      <c r="L45" s="18"/>
      <c r="M45" s="18"/>
      <c r="N45" s="18"/>
      <c r="O45" s="18"/>
      <c r="P45" s="93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4"/>
      <c r="AB45" s="11"/>
      <c r="AC45" s="18"/>
    </row>
    <row r="46" spans="1:29" ht="14.25">
      <c r="A46" s="81"/>
      <c r="B46" s="14"/>
      <c r="C46" s="83"/>
      <c r="D46" s="83"/>
      <c r="E46" s="83"/>
      <c r="F46" s="57"/>
      <c r="G46" s="18"/>
      <c r="H46" s="40"/>
      <c r="J46" s="18"/>
      <c r="K46" s="18"/>
      <c r="L46" s="18"/>
      <c r="M46" s="18"/>
      <c r="N46" s="18"/>
      <c r="O46" s="18"/>
      <c r="P46" s="93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4"/>
      <c r="AB46" s="11"/>
      <c r="AC46" s="18"/>
    </row>
    <row r="47" spans="1:29" ht="14.25">
      <c r="A47" s="81"/>
      <c r="B47" s="14" t="s">
        <v>47</v>
      </c>
      <c r="C47" s="83"/>
      <c r="D47" s="83" t="s">
        <v>8</v>
      </c>
      <c r="E47" s="83">
        <v>6</v>
      </c>
      <c r="F47" s="57">
        <v>2250</v>
      </c>
      <c r="G47" s="18">
        <f>F47*E47</f>
        <v>13500</v>
      </c>
      <c r="H47" s="40">
        <f t="shared" si="9"/>
        <v>6923.076923076923</v>
      </c>
      <c r="J47" s="18"/>
      <c r="K47" s="18"/>
      <c r="L47" s="18"/>
      <c r="M47" s="18"/>
      <c r="N47" s="18"/>
      <c r="O47" s="18"/>
      <c r="P47" s="93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4"/>
      <c r="AB47" s="11"/>
      <c r="AC47" s="18"/>
    </row>
    <row r="48" spans="1:29" ht="15.75" customHeight="1">
      <c r="A48" s="81"/>
      <c r="B48" s="14" t="s">
        <v>23</v>
      </c>
      <c r="C48" s="83"/>
      <c r="D48" s="83" t="s">
        <v>8</v>
      </c>
      <c r="E48" s="83">
        <v>6</v>
      </c>
      <c r="F48" s="57">
        <f>7800</f>
        <v>7800</v>
      </c>
      <c r="G48" s="18">
        <f t="shared" si="8"/>
        <v>46800</v>
      </c>
      <c r="H48" s="40">
        <f t="shared" si="9"/>
        <v>24000</v>
      </c>
      <c r="J48" s="18"/>
      <c r="K48" s="18"/>
      <c r="L48" s="18"/>
      <c r="M48" s="18"/>
      <c r="N48" s="18"/>
      <c r="O48" s="18"/>
      <c r="P48" s="93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4"/>
      <c r="AB48" s="11"/>
      <c r="AC48" s="18"/>
    </row>
    <row r="49" spans="1:29" ht="15.75" customHeight="1">
      <c r="A49" s="81"/>
      <c r="B49" s="14" t="s">
        <v>25</v>
      </c>
      <c r="C49" s="83"/>
      <c r="D49" s="83" t="s">
        <v>8</v>
      </c>
      <c r="E49" s="83">
        <v>6</v>
      </c>
      <c r="F49" s="57">
        <f>3900</f>
        <v>3900</v>
      </c>
      <c r="G49" s="18">
        <f t="shared" si="8"/>
        <v>23400</v>
      </c>
      <c r="H49" s="40">
        <f t="shared" si="9"/>
        <v>12000</v>
      </c>
      <c r="J49" s="18"/>
      <c r="K49" s="18"/>
      <c r="L49" s="18"/>
      <c r="M49" s="18"/>
      <c r="N49" s="18"/>
      <c r="O49" s="18"/>
      <c r="P49" s="93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4"/>
      <c r="AB49" s="11"/>
      <c r="AC49" s="18"/>
    </row>
    <row r="50" spans="1:29" ht="14.25">
      <c r="A50" s="81"/>
      <c r="B50" s="14" t="s">
        <v>28</v>
      </c>
      <c r="C50" s="83"/>
      <c r="D50" s="83" t="s">
        <v>8</v>
      </c>
      <c r="E50" s="83">
        <v>6</v>
      </c>
      <c r="F50" s="57">
        <f>2300</f>
        <v>2300</v>
      </c>
      <c r="G50" s="18">
        <f t="shared" si="8"/>
        <v>13800</v>
      </c>
      <c r="H50" s="40">
        <f t="shared" si="9"/>
        <v>7076.923076923077</v>
      </c>
      <c r="J50" s="18"/>
      <c r="K50" s="18"/>
      <c r="L50" s="18"/>
      <c r="M50" s="18"/>
      <c r="N50" s="18"/>
      <c r="O50" s="18"/>
      <c r="P50" s="93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4"/>
      <c r="AB50" s="11"/>
      <c r="AC50" s="18"/>
    </row>
    <row r="51" spans="1:29" ht="14.25">
      <c r="A51" s="81"/>
      <c r="B51" s="14" t="s">
        <v>24</v>
      </c>
      <c r="C51" s="83"/>
      <c r="D51" s="83" t="s">
        <v>8</v>
      </c>
      <c r="E51" s="83">
        <v>6</v>
      </c>
      <c r="F51" s="57">
        <v>800</v>
      </c>
      <c r="G51" s="18">
        <f>F51*E51</f>
        <v>4800</v>
      </c>
      <c r="H51" s="40">
        <f t="shared" si="9"/>
        <v>2461.5384615384614</v>
      </c>
      <c r="J51" s="18"/>
      <c r="K51" s="18"/>
      <c r="L51" s="18"/>
      <c r="M51" s="18"/>
      <c r="N51" s="18"/>
      <c r="O51" s="18"/>
      <c r="P51" s="93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4"/>
      <c r="AB51" s="11"/>
      <c r="AC51" s="18"/>
    </row>
    <row r="52" spans="1:29" ht="14.25">
      <c r="A52" s="81"/>
      <c r="B52" s="14" t="s">
        <v>51</v>
      </c>
      <c r="C52" s="83"/>
      <c r="D52" s="83" t="s">
        <v>8</v>
      </c>
      <c r="E52" s="83">
        <v>6</v>
      </c>
      <c r="F52" s="57">
        <v>760</v>
      </c>
      <c r="G52" s="18">
        <f t="shared" si="8"/>
        <v>4560</v>
      </c>
      <c r="H52" s="40">
        <f t="shared" si="9"/>
        <v>2338.4615384615386</v>
      </c>
      <c r="J52" s="18"/>
      <c r="K52" s="18"/>
      <c r="L52" s="18"/>
      <c r="M52" s="18"/>
      <c r="N52" s="18"/>
      <c r="O52" s="18"/>
      <c r="P52" s="93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4"/>
      <c r="AB52" s="11"/>
      <c r="AC52" s="18"/>
    </row>
    <row r="53" spans="1:29" ht="14.25">
      <c r="A53" s="81"/>
      <c r="B53" s="14"/>
      <c r="C53" s="83"/>
      <c r="D53" s="83"/>
      <c r="E53" s="83"/>
      <c r="F53" s="57"/>
      <c r="G53" s="18">
        <f t="shared" si="8"/>
        <v>0</v>
      </c>
      <c r="H53" s="40">
        <f t="shared" si="9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4"/>
      <c r="AB53" s="11"/>
      <c r="AC53" s="18"/>
    </row>
    <row r="54" spans="1:29" ht="14.25">
      <c r="A54" s="81"/>
      <c r="B54" s="23" t="s">
        <v>11</v>
      </c>
      <c r="C54" s="85"/>
      <c r="D54" s="14"/>
      <c r="E54" s="83"/>
      <c r="F54" s="57"/>
      <c r="G54" s="24">
        <f>SUM(G41:G53)</f>
        <v>250060</v>
      </c>
      <c r="H54" s="41">
        <f>SUM(H41:H53)</f>
        <v>128235.89743589744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1"/>
      <c r="AC54" s="24"/>
    </row>
    <row r="55" spans="1:29" ht="14.25">
      <c r="A55" s="87"/>
      <c r="B55" s="13" t="s">
        <v>12</v>
      </c>
      <c r="C55" s="85"/>
      <c r="D55" s="14"/>
      <c r="E55" s="83"/>
      <c r="F55" s="57"/>
      <c r="G55" s="15"/>
      <c r="H55" s="3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4"/>
      <c r="AB55" s="11"/>
      <c r="AC55" s="18"/>
    </row>
    <row r="56" spans="1:29" ht="14.25">
      <c r="A56" s="81"/>
      <c r="B56" s="14" t="s">
        <v>19</v>
      </c>
      <c r="C56" s="83"/>
      <c r="D56" s="83" t="s">
        <v>8</v>
      </c>
      <c r="E56" s="83">
        <v>6</v>
      </c>
      <c r="F56" s="57">
        <f>11300*10%</f>
        <v>1130</v>
      </c>
      <c r="G56" s="18">
        <f aca="true" t="shared" si="10" ref="G56:G61">F56*E56</f>
        <v>6780</v>
      </c>
      <c r="H56" s="40">
        <f aca="true" t="shared" si="11" ref="H56:H64">G56/$H$6</f>
        <v>3476.923076923077</v>
      </c>
      <c r="J56" s="18"/>
      <c r="K56" s="18"/>
      <c r="L56" s="18"/>
      <c r="M56" s="18"/>
      <c r="N56" s="18"/>
      <c r="O56" s="18"/>
      <c r="P56" s="93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4"/>
      <c r="AB56" s="11"/>
      <c r="AC56" s="18"/>
    </row>
    <row r="57" spans="1:29" ht="14.25">
      <c r="A57" s="81"/>
      <c r="B57" s="14" t="s">
        <v>34</v>
      </c>
      <c r="C57" s="83"/>
      <c r="D57" s="83" t="s">
        <v>8</v>
      </c>
      <c r="E57" s="83">
        <v>6</v>
      </c>
      <c r="F57" s="57">
        <f>375*31+2500</f>
        <v>14125</v>
      </c>
      <c r="G57" s="18">
        <f t="shared" si="10"/>
        <v>84750</v>
      </c>
      <c r="H57" s="40">
        <f t="shared" si="11"/>
        <v>43461.53846153846</v>
      </c>
      <c r="J57" s="18"/>
      <c r="K57" s="18"/>
      <c r="L57" s="18"/>
      <c r="M57" s="18"/>
      <c r="N57" s="18"/>
      <c r="O57" s="18"/>
      <c r="P57" s="93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4"/>
      <c r="AB57" s="11"/>
      <c r="AC57" s="18"/>
    </row>
    <row r="58" spans="1:29" ht="14.25">
      <c r="A58" s="81"/>
      <c r="B58" s="14" t="s">
        <v>21</v>
      </c>
      <c r="C58" s="83"/>
      <c r="D58" s="83" t="s">
        <v>8</v>
      </c>
      <c r="E58" s="83">
        <v>6</v>
      </c>
      <c r="F58" s="57">
        <f>9255</f>
        <v>9255</v>
      </c>
      <c r="G58" s="18">
        <f t="shared" si="10"/>
        <v>55530</v>
      </c>
      <c r="H58" s="40">
        <f t="shared" si="11"/>
        <v>28476.923076923078</v>
      </c>
      <c r="J58" s="18"/>
      <c r="K58" s="18"/>
      <c r="L58" s="18"/>
      <c r="M58" s="18"/>
      <c r="N58" s="18"/>
      <c r="O58" s="18"/>
      <c r="P58" s="93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4"/>
      <c r="AB58" s="11"/>
      <c r="AC58" s="18"/>
    </row>
    <row r="59" spans="1:29" ht="14.25">
      <c r="A59" s="81"/>
      <c r="B59" s="14" t="s">
        <v>26</v>
      </c>
      <c r="C59" s="83"/>
      <c r="D59" s="83" t="s">
        <v>8</v>
      </c>
      <c r="E59" s="83">
        <v>6</v>
      </c>
      <c r="F59" s="57">
        <f>10200</f>
        <v>10200</v>
      </c>
      <c r="G59" s="18">
        <f t="shared" si="10"/>
        <v>61200</v>
      </c>
      <c r="H59" s="40"/>
      <c r="J59" s="18"/>
      <c r="K59" s="18"/>
      <c r="L59" s="18"/>
      <c r="M59" s="18"/>
      <c r="N59" s="18"/>
      <c r="O59" s="18"/>
      <c r="P59" s="93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4"/>
      <c r="AB59" s="11"/>
      <c r="AC59" s="18"/>
    </row>
    <row r="60" spans="1:29" ht="14.25">
      <c r="A60" s="81"/>
      <c r="B60" s="14" t="s">
        <v>27</v>
      </c>
      <c r="C60" s="83"/>
      <c r="D60" s="83" t="s">
        <v>8</v>
      </c>
      <c r="E60" s="83">
        <v>6</v>
      </c>
      <c r="F60" s="57">
        <f>9255</f>
        <v>9255</v>
      </c>
      <c r="G60" s="18">
        <f t="shared" si="10"/>
        <v>55530</v>
      </c>
      <c r="H60" s="40">
        <f t="shared" si="11"/>
        <v>28476.923076923078</v>
      </c>
      <c r="J60" s="18"/>
      <c r="K60" s="18"/>
      <c r="L60" s="18"/>
      <c r="M60" s="18"/>
      <c r="N60" s="18"/>
      <c r="O60" s="18"/>
      <c r="P60" s="93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4"/>
      <c r="AB60" s="11"/>
      <c r="AC60" s="18"/>
    </row>
    <row r="61" spans="1:29" ht="14.25">
      <c r="A61" s="81"/>
      <c r="B61" s="14" t="s">
        <v>83</v>
      </c>
      <c r="C61" s="83"/>
      <c r="D61" s="83" t="s">
        <v>8</v>
      </c>
      <c r="E61" s="83">
        <v>5</v>
      </c>
      <c r="F61" s="57">
        <v>13000</v>
      </c>
      <c r="G61" s="18">
        <f t="shared" si="10"/>
        <v>65000</v>
      </c>
      <c r="H61" s="40">
        <f t="shared" si="11"/>
        <v>33333.333333333336</v>
      </c>
      <c r="J61" s="18"/>
      <c r="K61" s="18"/>
      <c r="L61" s="18"/>
      <c r="M61" s="18"/>
      <c r="N61" s="18"/>
      <c r="O61" s="18"/>
      <c r="P61" s="93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4"/>
      <c r="AB61" s="11"/>
      <c r="AC61" s="18"/>
    </row>
    <row r="62" spans="1:29" ht="14.25">
      <c r="A62" s="81"/>
      <c r="B62" s="23" t="s">
        <v>11</v>
      </c>
      <c r="C62" s="85"/>
      <c r="D62" s="14"/>
      <c r="E62" s="83"/>
      <c r="F62" s="57"/>
      <c r="G62" s="24">
        <f>SUM(G56:G61)</f>
        <v>328790</v>
      </c>
      <c r="H62" s="41">
        <f>SUM(H56:H61)</f>
        <v>137225.64102564103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11"/>
      <c r="AC62" s="24"/>
    </row>
    <row r="63" spans="1:29" ht="14.25">
      <c r="A63" s="81"/>
      <c r="B63" s="14"/>
      <c r="C63" s="83"/>
      <c r="D63" s="14"/>
      <c r="E63" s="83"/>
      <c r="F63" s="57"/>
      <c r="G63" s="18"/>
      <c r="H63" s="4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4"/>
      <c r="AB63" s="11"/>
      <c r="AC63" s="18"/>
    </row>
    <row r="64" spans="1:29" ht="14.25">
      <c r="A64" s="87"/>
      <c r="B64" s="13" t="s">
        <v>35</v>
      </c>
      <c r="C64" s="85"/>
      <c r="D64" s="83" t="s">
        <v>8</v>
      </c>
      <c r="E64" s="83">
        <v>6</v>
      </c>
      <c r="F64" s="57">
        <v>12500</v>
      </c>
      <c r="G64" s="24">
        <f>F64*E64</f>
        <v>75000</v>
      </c>
      <c r="H64" s="41">
        <f t="shared" si="11"/>
        <v>38461.53846153846</v>
      </c>
      <c r="J64" s="18"/>
      <c r="K64" s="18"/>
      <c r="L64" s="18"/>
      <c r="M64" s="18"/>
      <c r="N64" s="18"/>
      <c r="O64" s="18"/>
      <c r="P64" s="93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4"/>
      <c r="AB64" s="11"/>
      <c r="AC64" s="18"/>
    </row>
    <row r="65" spans="1:29" ht="14.25">
      <c r="A65" s="34"/>
      <c r="B65" s="25"/>
      <c r="C65" s="27"/>
      <c r="D65" s="25"/>
      <c r="E65" s="27"/>
      <c r="F65" s="57"/>
      <c r="G65" s="15"/>
      <c r="H65" s="3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4"/>
      <c r="AB65" s="11"/>
      <c r="AC65" s="18">
        <f>AC$11/$AA$11*$G65</f>
        <v>0</v>
      </c>
    </row>
    <row r="66" spans="1:29" ht="14.25">
      <c r="A66" s="37"/>
      <c r="B66" s="20" t="s">
        <v>13</v>
      </c>
      <c r="C66" s="84"/>
      <c r="D66" s="20"/>
      <c r="E66" s="84"/>
      <c r="F66" s="58"/>
      <c r="G66" s="31">
        <f>SUM(G64,G62,G54)</f>
        <v>653850</v>
      </c>
      <c r="H66" s="42">
        <f>SUM(H64,H62,H54)</f>
        <v>303923.07692307694</v>
      </c>
      <c r="I66" s="92">
        <f>G66/$G$81</f>
        <v>0.09761947916570245</v>
      </c>
      <c r="J66" s="31">
        <f>J$11/$AA$11*$G66</f>
        <v>8438.311889884519</v>
      </c>
      <c r="K66" s="31">
        <f aca="true" t="shared" si="12" ref="K66:AA66">K$11/$AA$11*$G66</f>
        <v>84608.1405492421</v>
      </c>
      <c r="L66" s="31">
        <f t="shared" si="12"/>
        <v>89288.59087749806</v>
      </c>
      <c r="M66" s="31">
        <f t="shared" si="12"/>
        <v>69306.66832225151</v>
      </c>
      <c r="N66" s="31">
        <f t="shared" si="12"/>
        <v>21939.610913699747</v>
      </c>
      <c r="O66" s="31">
        <f t="shared" si="12"/>
        <v>122861.8211167186</v>
      </c>
      <c r="P66" s="31">
        <f t="shared" si="12"/>
        <v>22502.165039692052</v>
      </c>
      <c r="Q66" s="31">
        <f t="shared" si="12"/>
        <v>1782.1714711436105</v>
      </c>
      <c r="R66" s="31">
        <f t="shared" si="12"/>
        <v>18001.73203175364</v>
      </c>
      <c r="S66" s="31">
        <f t="shared" si="12"/>
        <v>69216.65966209274</v>
      </c>
      <c r="T66" s="31">
        <f t="shared" si="12"/>
        <v>6975.671162304536</v>
      </c>
      <c r="U66" s="31">
        <f t="shared" si="12"/>
        <v>10463.506743456805</v>
      </c>
      <c r="V66" s="31">
        <f t="shared" si="12"/>
        <v>58389.87796623516</v>
      </c>
      <c r="W66" s="31">
        <f t="shared" si="12"/>
        <v>13501.299023815229</v>
      </c>
      <c r="X66" s="31">
        <f t="shared" si="12"/>
        <v>27722.667328900607</v>
      </c>
      <c r="Y66" s="31">
        <f t="shared" si="12"/>
        <v>9000.86601587682</v>
      </c>
      <c r="Z66" s="31">
        <f t="shared" si="12"/>
        <v>19850.23988543426</v>
      </c>
      <c r="AA66" s="31">
        <f t="shared" si="12"/>
        <v>653850</v>
      </c>
      <c r="AB66" s="11"/>
      <c r="AC66" s="31">
        <f>SUM(AC64,AC62,AC54)</f>
        <v>0</v>
      </c>
    </row>
    <row r="67" spans="1:29" ht="14.25">
      <c r="A67" s="39"/>
      <c r="B67" s="13"/>
      <c r="C67" s="85"/>
      <c r="D67" s="13"/>
      <c r="E67" s="85"/>
      <c r="F67" s="57"/>
      <c r="G67" s="15"/>
      <c r="H67" s="3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4"/>
      <c r="AB67" s="11"/>
      <c r="AC67" s="18">
        <f>AC$11/$AA$11*$G67</f>
        <v>0</v>
      </c>
    </row>
    <row r="68" spans="1:29" ht="14.25">
      <c r="A68" s="81"/>
      <c r="B68" s="14" t="s">
        <v>0</v>
      </c>
      <c r="C68" s="83"/>
      <c r="D68" s="83" t="s">
        <v>8</v>
      </c>
      <c r="E68" s="83">
        <v>6</v>
      </c>
      <c r="F68" s="57">
        <v>3000</v>
      </c>
      <c r="G68" s="21">
        <f>F68*E68</f>
        <v>18000</v>
      </c>
      <c r="H68" s="44">
        <f>G68/$H$6</f>
        <v>9230.76923076923</v>
      </c>
      <c r="J68" s="18"/>
      <c r="K68" s="18"/>
      <c r="L68" s="18"/>
      <c r="M68" s="18"/>
      <c r="N68" s="18"/>
      <c r="O68" s="18"/>
      <c r="P68" s="93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24"/>
      <c r="AB68" s="11"/>
      <c r="AC68" s="18"/>
    </row>
    <row r="69" spans="1:29" ht="14.25">
      <c r="A69" s="81"/>
      <c r="B69" s="14" t="s">
        <v>49</v>
      </c>
      <c r="C69" s="83"/>
      <c r="D69" s="83" t="s">
        <v>8</v>
      </c>
      <c r="E69" s="83">
        <v>6</v>
      </c>
      <c r="F69" s="57">
        <v>4000</v>
      </c>
      <c r="G69" s="21">
        <f>F69*E69</f>
        <v>24000</v>
      </c>
      <c r="H69" s="44">
        <f>G69/$H$6</f>
        <v>12307.692307692309</v>
      </c>
      <c r="J69" s="18"/>
      <c r="K69" s="18"/>
      <c r="L69" s="18"/>
      <c r="M69" s="18"/>
      <c r="N69" s="18"/>
      <c r="O69" s="18"/>
      <c r="P69" s="93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24"/>
      <c r="AB69" s="11"/>
      <c r="AC69" s="18"/>
    </row>
    <row r="70" spans="1:29" ht="14.25">
      <c r="A70" s="43"/>
      <c r="B70" s="14"/>
      <c r="C70" s="83"/>
      <c r="D70" s="14"/>
      <c r="E70" s="83"/>
      <c r="F70" s="57"/>
      <c r="G70" s="21"/>
      <c r="H70" s="44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24"/>
      <c r="AB70" s="11"/>
      <c r="AC70" s="18">
        <f>AC$11/$AA$11*$G70</f>
        <v>0</v>
      </c>
    </row>
    <row r="71" spans="1:29" ht="14.25">
      <c r="A71" s="37"/>
      <c r="B71" s="20" t="s">
        <v>14</v>
      </c>
      <c r="C71" s="84"/>
      <c r="D71" s="20"/>
      <c r="E71" s="74"/>
      <c r="F71" s="58"/>
      <c r="G71" s="31">
        <f>SUM(G68:G69)</f>
        <v>42000</v>
      </c>
      <c r="H71" s="31">
        <f>SUM(H68:H69)</f>
        <v>21538.46153846154</v>
      </c>
      <c r="I71" s="92">
        <f>G71/$G$81</f>
        <v>0.00627057907006118</v>
      </c>
      <c r="J71" s="31">
        <f>J$11/$AA$11*$G71</f>
        <v>542.0342576663604</v>
      </c>
      <c r="K71" s="31">
        <f aca="true" t="shared" si="13" ref="K71:AA71">K$11/$AA$11*$G71</f>
        <v>5434.796823534708</v>
      </c>
      <c r="L71" s="31">
        <f t="shared" si="13"/>
        <v>5735.445158453649</v>
      </c>
      <c r="M71" s="31">
        <f t="shared" si="13"/>
        <v>4451.908036299707</v>
      </c>
      <c r="N71" s="31">
        <f t="shared" si="13"/>
        <v>1409.2890699325371</v>
      </c>
      <c r="O71" s="31">
        <f t="shared" si="13"/>
        <v>7892.0187916222085</v>
      </c>
      <c r="P71" s="31">
        <f t="shared" si="13"/>
        <v>1445.4246871102946</v>
      </c>
      <c r="Q71" s="31">
        <f t="shared" si="13"/>
        <v>114.47763521913534</v>
      </c>
      <c r="R71" s="31">
        <f t="shared" si="13"/>
        <v>1156.3397496882358</v>
      </c>
      <c r="S71" s="31">
        <f t="shared" si="13"/>
        <v>4446.126337551266</v>
      </c>
      <c r="T71" s="31">
        <f t="shared" si="13"/>
        <v>448.0816530041913</v>
      </c>
      <c r="U71" s="31">
        <f t="shared" si="13"/>
        <v>672.122479506287</v>
      </c>
      <c r="V71" s="31">
        <f t="shared" si="13"/>
        <v>3750.6689218962706</v>
      </c>
      <c r="W71" s="31">
        <f t="shared" si="13"/>
        <v>867.2548122661767</v>
      </c>
      <c r="X71" s="31">
        <f t="shared" si="13"/>
        <v>1780.763214519883</v>
      </c>
      <c r="Y71" s="31">
        <f t="shared" si="13"/>
        <v>578.1698748441179</v>
      </c>
      <c r="Z71" s="31">
        <f t="shared" si="13"/>
        <v>1275.078496884972</v>
      </c>
      <c r="AA71" s="31">
        <f t="shared" si="13"/>
        <v>42000</v>
      </c>
      <c r="AB71" s="11"/>
      <c r="AC71" s="31">
        <f>SUM(AC68:AC69)</f>
        <v>0</v>
      </c>
    </row>
    <row r="72" spans="1:29" ht="14.25">
      <c r="A72" s="45"/>
      <c r="B72" s="26"/>
      <c r="C72" s="89"/>
      <c r="D72" s="26"/>
      <c r="E72" s="75"/>
      <c r="F72" s="60"/>
      <c r="G72" s="27"/>
      <c r="H72" s="4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24"/>
      <c r="AB72" s="11"/>
      <c r="AC72" s="18">
        <f>AC$11/$AA$11*$G72</f>
        <v>0</v>
      </c>
    </row>
    <row r="73" spans="1:29" ht="14.25">
      <c r="A73" s="82"/>
      <c r="B73" s="28" t="s">
        <v>41</v>
      </c>
      <c r="C73" s="86"/>
      <c r="D73" s="83" t="s">
        <v>29</v>
      </c>
      <c r="E73" s="86">
        <v>2</v>
      </c>
      <c r="F73" s="60">
        <v>105000</v>
      </c>
      <c r="G73" s="29">
        <f>F73*E73</f>
        <v>210000</v>
      </c>
      <c r="H73" s="48">
        <f>G73/$H$6</f>
        <v>107692.30769230769</v>
      </c>
      <c r="J73" s="18"/>
      <c r="K73" s="18"/>
      <c r="L73" s="18"/>
      <c r="M73" s="18"/>
      <c r="N73" s="18"/>
      <c r="O73" s="18"/>
      <c r="P73" s="93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4"/>
      <c r="AB73" s="11"/>
      <c r="AC73" s="18"/>
    </row>
    <row r="74" spans="1:29" ht="14.25">
      <c r="A74" s="82"/>
      <c r="B74" s="28" t="s">
        <v>54</v>
      </c>
      <c r="C74" s="86"/>
      <c r="D74" s="83" t="s">
        <v>29</v>
      </c>
      <c r="E74" s="86">
        <v>1</v>
      </c>
      <c r="F74" s="60">
        <v>60000</v>
      </c>
      <c r="G74" s="29">
        <f>F74*E74</f>
        <v>60000</v>
      </c>
      <c r="H74" s="48">
        <f>G74/$H$6</f>
        <v>30769.23076923077</v>
      </c>
      <c r="J74" s="18"/>
      <c r="K74" s="18"/>
      <c r="L74" s="18"/>
      <c r="M74" s="18"/>
      <c r="N74" s="18"/>
      <c r="O74" s="18"/>
      <c r="P74" s="93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4"/>
      <c r="AB74" s="11"/>
      <c r="AC74" s="18"/>
    </row>
    <row r="75" spans="1:29" ht="14.25">
      <c r="A75" s="82"/>
      <c r="B75" s="28" t="s">
        <v>55</v>
      </c>
      <c r="C75" s="86"/>
      <c r="D75" s="83" t="s">
        <v>29</v>
      </c>
      <c r="E75" s="86">
        <v>2</v>
      </c>
      <c r="F75" s="60">
        <v>7000</v>
      </c>
      <c r="G75" s="29">
        <f>F75*E75</f>
        <v>14000</v>
      </c>
      <c r="H75" s="48">
        <f>G75/$H$6</f>
        <v>7179.48717948718</v>
      </c>
      <c r="J75" s="18"/>
      <c r="K75" s="18"/>
      <c r="L75" s="18"/>
      <c r="M75" s="18"/>
      <c r="N75" s="18"/>
      <c r="O75" s="18"/>
      <c r="P75" s="93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4"/>
      <c r="AB75" s="11"/>
      <c r="AC75" s="18"/>
    </row>
    <row r="76" spans="1:29" ht="14.25">
      <c r="A76" s="82"/>
      <c r="B76" s="28" t="s">
        <v>32</v>
      </c>
      <c r="C76" s="86"/>
      <c r="D76" s="83" t="s">
        <v>29</v>
      </c>
      <c r="E76" s="86">
        <v>1</v>
      </c>
      <c r="F76" s="60">
        <v>25000</v>
      </c>
      <c r="G76" s="29">
        <f>F76*E76</f>
        <v>25000</v>
      </c>
      <c r="H76" s="48">
        <f>G76/$H$6</f>
        <v>12820.51282051282</v>
      </c>
      <c r="J76" s="18"/>
      <c r="K76" s="18"/>
      <c r="L76" s="18"/>
      <c r="M76" s="18"/>
      <c r="N76" s="18"/>
      <c r="O76" s="18"/>
      <c r="P76" s="93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4"/>
      <c r="AB76" s="11"/>
      <c r="AC76" s="18"/>
    </row>
    <row r="77" spans="1:29" ht="14.25">
      <c r="A77" s="82"/>
      <c r="B77" s="28" t="s">
        <v>50</v>
      </c>
      <c r="C77" s="86"/>
      <c r="D77" s="83" t="s">
        <v>29</v>
      </c>
      <c r="E77" s="86">
        <v>1</v>
      </c>
      <c r="F77" s="60">
        <v>45000</v>
      </c>
      <c r="G77" s="29">
        <f>F77*E77</f>
        <v>45000</v>
      </c>
      <c r="H77" s="48">
        <f>G77/$H$6</f>
        <v>23076.923076923078</v>
      </c>
      <c r="J77" s="18"/>
      <c r="K77" s="18"/>
      <c r="L77" s="18"/>
      <c r="M77" s="18"/>
      <c r="N77" s="18"/>
      <c r="O77" s="18"/>
      <c r="P77" s="93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4"/>
      <c r="AB77" s="11"/>
      <c r="AC77" s="18"/>
    </row>
    <row r="78" spans="1:29" ht="14.25">
      <c r="A78" s="82"/>
      <c r="B78" s="23"/>
      <c r="C78" s="85"/>
      <c r="D78" s="14"/>
      <c r="E78" s="83"/>
      <c r="F78" s="57"/>
      <c r="G78" s="24"/>
      <c r="H78" s="41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24"/>
      <c r="AB78" s="11"/>
      <c r="AC78" s="18">
        <f>AC$11/$AA$11*$G78</f>
        <v>0</v>
      </c>
    </row>
    <row r="79" spans="1:29" ht="14.25">
      <c r="A79" s="37"/>
      <c r="B79" s="20" t="s">
        <v>48</v>
      </c>
      <c r="C79" s="84"/>
      <c r="D79" s="20"/>
      <c r="E79" s="74"/>
      <c r="F79" s="58"/>
      <c r="G79" s="31">
        <f>SUM(G73:G78)</f>
        <v>354000</v>
      </c>
      <c r="H79" s="31">
        <f>SUM(H73:H78)</f>
        <v>181538.46153846156</v>
      </c>
      <c r="I79" s="92">
        <f>G79/$G$81</f>
        <v>0.05285202359051566</v>
      </c>
      <c r="J79" s="31">
        <f>J$11/$AA$11*$G79</f>
        <v>4568.574457473609</v>
      </c>
      <c r="K79" s="31">
        <f aca="true" t="shared" si="14" ref="K79:AA79">K$11/$AA$11*$G79</f>
        <v>45807.57322693539</v>
      </c>
      <c r="L79" s="31">
        <f t="shared" si="14"/>
        <v>48341.60919268076</v>
      </c>
      <c r="M79" s="31">
        <f t="shared" si="14"/>
        <v>37523.22487738325</v>
      </c>
      <c r="N79" s="31">
        <f t="shared" si="14"/>
        <v>11878.293589431385</v>
      </c>
      <c r="O79" s="31">
        <f t="shared" si="14"/>
        <v>66518.44410081576</v>
      </c>
      <c r="P79" s="31">
        <f t="shared" si="14"/>
        <v>12182.865219929627</v>
      </c>
      <c r="Q79" s="31">
        <f t="shared" si="14"/>
        <v>964.8829254184265</v>
      </c>
      <c r="R79" s="31">
        <f t="shared" si="14"/>
        <v>9746.292175943701</v>
      </c>
      <c r="S79" s="31">
        <f t="shared" si="14"/>
        <v>37474.49341650353</v>
      </c>
      <c r="T79" s="31">
        <f t="shared" si="14"/>
        <v>3776.688218178184</v>
      </c>
      <c r="U79" s="31">
        <f t="shared" si="14"/>
        <v>5665.032327267277</v>
      </c>
      <c r="V79" s="31">
        <f t="shared" si="14"/>
        <v>31612.78091312571</v>
      </c>
      <c r="W79" s="31">
        <f t="shared" si="14"/>
        <v>7309.719131957775</v>
      </c>
      <c r="X79" s="31">
        <f t="shared" si="14"/>
        <v>15009.289950953298</v>
      </c>
      <c r="Y79" s="31">
        <f t="shared" si="14"/>
        <v>4873.146087971851</v>
      </c>
      <c r="Z79" s="31">
        <f t="shared" si="14"/>
        <v>10747.09018803048</v>
      </c>
      <c r="AA79" s="31">
        <f t="shared" si="14"/>
        <v>354000</v>
      </c>
      <c r="AB79" s="11"/>
      <c r="AC79" s="31">
        <f>SUM(AC73:AC78)</f>
        <v>0</v>
      </c>
    </row>
    <row r="80" spans="1:29" ht="14.25">
      <c r="A80" s="47"/>
      <c r="B80" s="26"/>
      <c r="C80" s="89"/>
      <c r="D80" s="26"/>
      <c r="E80" s="75"/>
      <c r="F80" s="60"/>
      <c r="G80" s="27"/>
      <c r="H80" s="48"/>
      <c r="J80" s="18">
        <f aca="true" t="shared" si="15" ref="J80:Z80">J$11/$AA$11*$G80</f>
        <v>0</v>
      </c>
      <c r="K80" s="18">
        <f t="shared" si="15"/>
        <v>0</v>
      </c>
      <c r="L80" s="18">
        <f t="shared" si="15"/>
        <v>0</v>
      </c>
      <c r="M80" s="18">
        <f t="shared" si="15"/>
        <v>0</v>
      </c>
      <c r="N80" s="18">
        <f t="shared" si="15"/>
        <v>0</v>
      </c>
      <c r="O80" s="18">
        <f t="shared" si="15"/>
        <v>0</v>
      </c>
      <c r="P80" s="18">
        <f t="shared" si="15"/>
        <v>0</v>
      </c>
      <c r="Q80" s="18">
        <f t="shared" si="15"/>
        <v>0</v>
      </c>
      <c r="R80" s="18">
        <f t="shared" si="15"/>
        <v>0</v>
      </c>
      <c r="S80" s="18">
        <f t="shared" si="15"/>
        <v>0</v>
      </c>
      <c r="T80" s="18">
        <f t="shared" si="15"/>
        <v>0</v>
      </c>
      <c r="U80" s="18">
        <f t="shared" si="15"/>
        <v>0</v>
      </c>
      <c r="V80" s="18">
        <f t="shared" si="15"/>
        <v>0</v>
      </c>
      <c r="W80" s="18">
        <f t="shared" si="15"/>
        <v>0</v>
      </c>
      <c r="X80" s="18">
        <f t="shared" si="15"/>
        <v>0</v>
      </c>
      <c r="Y80" s="18">
        <f t="shared" si="15"/>
        <v>0</v>
      </c>
      <c r="Z80" s="18">
        <f t="shared" si="15"/>
        <v>0</v>
      </c>
      <c r="AA80" s="24">
        <f>SUM(J80:Z80)</f>
        <v>0</v>
      </c>
      <c r="AB80" s="11"/>
      <c r="AC80" s="18">
        <f>AC$11/$AA$11*$G80</f>
        <v>0</v>
      </c>
    </row>
    <row r="81" spans="1:29" ht="14.25">
      <c r="A81" s="37"/>
      <c r="B81" s="20" t="s">
        <v>15</v>
      </c>
      <c r="C81" s="84"/>
      <c r="D81" s="58"/>
      <c r="E81" s="58"/>
      <c r="F81" s="58"/>
      <c r="G81" s="31">
        <f>G22+G38+G66+G71+G79</f>
        <v>6697946</v>
      </c>
      <c r="H81" s="42">
        <f>H22+H38+H66+H71+H79</f>
        <v>3384997.948717949</v>
      </c>
      <c r="I81" s="92">
        <f>G81/$G$81</f>
        <v>1</v>
      </c>
      <c r="J81" s="31">
        <f aca="true" t="shared" si="16" ref="J81:AA81">J22+J38+J66+J71+J79</f>
        <v>86440.86161903257</v>
      </c>
      <c r="K81" s="31">
        <f t="shared" si="16"/>
        <v>866713.7058335</v>
      </c>
      <c r="L81" s="31">
        <f t="shared" si="16"/>
        <v>914659.5704115235</v>
      </c>
      <c r="M81" s="31">
        <f t="shared" si="16"/>
        <v>709967.6100976543</v>
      </c>
      <c r="N81" s="31">
        <f t="shared" si="16"/>
        <v>224746.24020948473</v>
      </c>
      <c r="O81" s="31">
        <f t="shared" si="16"/>
        <v>1258578.9451731145</v>
      </c>
      <c r="P81" s="31">
        <f t="shared" si="16"/>
        <v>230508.96431742024</v>
      </c>
      <c r="Q81" s="31">
        <f t="shared" si="16"/>
        <v>18256.309973939682</v>
      </c>
      <c r="R81" s="31">
        <f>R22+R38+R66+R71+R79</f>
        <v>184407.17145393617</v>
      </c>
      <c r="S81" s="31">
        <f t="shared" si="16"/>
        <v>709045.5742403846</v>
      </c>
      <c r="T81" s="31">
        <f t="shared" si="16"/>
        <v>71457.77893840027</v>
      </c>
      <c r="U81" s="31">
        <f t="shared" si="16"/>
        <v>107186.66840760042</v>
      </c>
      <c r="V81" s="31">
        <f>V22+V38+V66+V71+V79</f>
        <v>598137.5691128438</v>
      </c>
      <c r="W81" s="31">
        <f t="shared" si="16"/>
        <v>138305.37859045214</v>
      </c>
      <c r="X81" s="31">
        <f>X22+X38+X66+X71+X79</f>
        <v>283987.0440390617</v>
      </c>
      <c r="Y81" s="31">
        <f t="shared" si="16"/>
        <v>92203.58572696809</v>
      </c>
      <c r="Z81" s="31">
        <f>Z22+Z38+Z66+Z71+Z79</f>
        <v>203343.0218546836</v>
      </c>
      <c r="AA81" s="31">
        <f t="shared" si="16"/>
        <v>6697946</v>
      </c>
      <c r="AB81" s="11"/>
      <c r="AC81" s="31">
        <f>AC22+AC38+AC66+AC71+AC79</f>
        <v>0</v>
      </c>
    </row>
    <row r="82" spans="1:29" ht="14.25">
      <c r="A82" s="34"/>
      <c r="B82" s="14"/>
      <c r="C82" s="83"/>
      <c r="D82" s="14"/>
      <c r="E82" s="72"/>
      <c r="F82" s="57"/>
      <c r="G82" s="15"/>
      <c r="H82" s="35"/>
      <c r="J82" s="18">
        <f aca="true" t="shared" si="17" ref="J82:Z82">J$11/$AA$11*$G82</f>
        <v>0</v>
      </c>
      <c r="K82" s="18">
        <f t="shared" si="17"/>
        <v>0</v>
      </c>
      <c r="L82" s="18">
        <f t="shared" si="17"/>
        <v>0</v>
      </c>
      <c r="M82" s="18">
        <f t="shared" si="17"/>
        <v>0</v>
      </c>
      <c r="N82" s="18">
        <f t="shared" si="17"/>
        <v>0</v>
      </c>
      <c r="O82" s="18">
        <f t="shared" si="17"/>
        <v>0</v>
      </c>
      <c r="P82" s="18">
        <f t="shared" si="17"/>
        <v>0</v>
      </c>
      <c r="Q82" s="18">
        <f t="shared" si="17"/>
        <v>0</v>
      </c>
      <c r="R82" s="18">
        <f t="shared" si="17"/>
        <v>0</v>
      </c>
      <c r="S82" s="18">
        <f t="shared" si="17"/>
        <v>0</v>
      </c>
      <c r="T82" s="18">
        <f t="shared" si="17"/>
        <v>0</v>
      </c>
      <c r="U82" s="18">
        <f t="shared" si="17"/>
        <v>0</v>
      </c>
      <c r="V82" s="18">
        <f t="shared" si="17"/>
        <v>0</v>
      </c>
      <c r="W82" s="18">
        <f t="shared" si="17"/>
        <v>0</v>
      </c>
      <c r="X82" s="18">
        <f t="shared" si="17"/>
        <v>0</v>
      </c>
      <c r="Y82" s="18">
        <f t="shared" si="17"/>
        <v>0</v>
      </c>
      <c r="Z82" s="18">
        <f t="shared" si="17"/>
        <v>0</v>
      </c>
      <c r="AA82" s="24">
        <f>SUM(J82:Z82)</f>
        <v>0</v>
      </c>
      <c r="AB82" s="11"/>
      <c r="AC82" s="18">
        <f>AC$11/$AA$11*$G82</f>
        <v>0</v>
      </c>
    </row>
    <row r="83" spans="1:29" ht="14.25">
      <c r="A83" s="37"/>
      <c r="B83" s="20" t="s">
        <v>78</v>
      </c>
      <c r="C83" s="84"/>
      <c r="D83" s="20"/>
      <c r="E83" s="74"/>
      <c r="F83" s="58"/>
      <c r="G83" s="31">
        <f>G81*0.07</f>
        <v>468856.22000000003</v>
      </c>
      <c r="H83" s="42">
        <f>G83/$H$6</f>
        <v>240439.0871794872</v>
      </c>
      <c r="J83" s="18">
        <f aca="true" t="shared" si="18" ref="J83:O84">J$11/$AA$11*$G83</f>
        <v>6050.86031333228</v>
      </c>
      <c r="K83" s="18">
        <f t="shared" si="18"/>
        <v>60669.95940834501</v>
      </c>
      <c r="L83" s="18">
        <f t="shared" si="18"/>
        <v>64026.16992880665</v>
      </c>
      <c r="M83" s="18">
        <f t="shared" si="18"/>
        <v>49697.7327068358</v>
      </c>
      <c r="N83" s="18">
        <f t="shared" si="18"/>
        <v>15732.236814663931</v>
      </c>
      <c r="O83" s="18">
        <f t="shared" si="18"/>
        <v>88100.52616211801</v>
      </c>
      <c r="P83" s="93">
        <f>(P$11)/$AA$11*$G83</f>
        <v>16135.627502219417</v>
      </c>
      <c r="Q83" s="18">
        <f aca="true" t="shared" si="19" ref="Q83:Z84">Q$11/$AA$11*$G83</f>
        <v>1277.941698175778</v>
      </c>
      <c r="R83" s="18">
        <f t="shared" si="19"/>
        <v>12908.502001775534</v>
      </c>
      <c r="S83" s="18">
        <f t="shared" si="19"/>
        <v>49633.19019682693</v>
      </c>
      <c r="T83" s="18">
        <f t="shared" si="19"/>
        <v>5002.044525688019</v>
      </c>
      <c r="U83" s="18">
        <f t="shared" si="19"/>
        <v>7503.066788532029</v>
      </c>
      <c r="V83" s="18">
        <f t="shared" si="19"/>
        <v>41869.62983789907</v>
      </c>
      <c r="W83" s="18">
        <f t="shared" si="19"/>
        <v>9681.37650133165</v>
      </c>
      <c r="X83" s="18">
        <f t="shared" si="19"/>
        <v>19879.09308273432</v>
      </c>
      <c r="Y83" s="18">
        <f t="shared" si="19"/>
        <v>6454.251000887767</v>
      </c>
      <c r="Z83" s="18">
        <f t="shared" si="19"/>
        <v>14234.011529827852</v>
      </c>
      <c r="AA83" s="24">
        <f>SUM(J83:Z83)</f>
        <v>468856.22000000003</v>
      </c>
      <c r="AB83" s="11"/>
      <c r="AC83" s="18"/>
    </row>
    <row r="84" spans="1:29" ht="14.25">
      <c r="A84" s="37"/>
      <c r="B84" s="20" t="s">
        <v>16</v>
      </c>
      <c r="C84" s="84"/>
      <c r="D84" s="20"/>
      <c r="E84" s="74"/>
      <c r="F84" s="58"/>
      <c r="G84" s="22"/>
      <c r="H84" s="38">
        <v>0</v>
      </c>
      <c r="J84" s="18">
        <f t="shared" si="18"/>
        <v>0</v>
      </c>
      <c r="K84" s="18">
        <f t="shared" si="18"/>
        <v>0</v>
      </c>
      <c r="L84" s="18">
        <f t="shared" si="18"/>
        <v>0</v>
      </c>
      <c r="M84" s="18">
        <f t="shared" si="18"/>
        <v>0</v>
      </c>
      <c r="N84" s="18">
        <f t="shared" si="18"/>
        <v>0</v>
      </c>
      <c r="O84" s="18">
        <f t="shared" si="18"/>
        <v>0</v>
      </c>
      <c r="P84" s="18">
        <f>P$11/$AA$11*$G84</f>
        <v>0</v>
      </c>
      <c r="Q84" s="18">
        <f t="shared" si="19"/>
        <v>0</v>
      </c>
      <c r="R84" s="18">
        <f t="shared" si="19"/>
        <v>0</v>
      </c>
      <c r="S84" s="18">
        <f t="shared" si="19"/>
        <v>0</v>
      </c>
      <c r="T84" s="18">
        <f t="shared" si="19"/>
        <v>0</v>
      </c>
      <c r="U84" s="18">
        <f t="shared" si="19"/>
        <v>0</v>
      </c>
      <c r="V84" s="18">
        <f t="shared" si="19"/>
        <v>0</v>
      </c>
      <c r="W84" s="18">
        <f t="shared" si="19"/>
        <v>0</v>
      </c>
      <c r="X84" s="18">
        <f t="shared" si="19"/>
        <v>0</v>
      </c>
      <c r="Y84" s="18">
        <f t="shared" si="19"/>
        <v>0</v>
      </c>
      <c r="Z84" s="18">
        <f t="shared" si="19"/>
        <v>0</v>
      </c>
      <c r="AA84" s="24">
        <f>SUM(J84:Z84)</f>
        <v>0</v>
      </c>
      <c r="AB84" s="11"/>
      <c r="AC84" s="18">
        <f>AC$11/$AA$11*$G84</f>
        <v>0</v>
      </c>
    </row>
    <row r="85" spans="1:29" ht="14.25">
      <c r="A85" s="37"/>
      <c r="B85" s="20" t="s">
        <v>17</v>
      </c>
      <c r="C85" s="84"/>
      <c r="D85" s="20"/>
      <c r="E85" s="74"/>
      <c r="F85" s="58"/>
      <c r="G85" s="31">
        <f>G83+G81</f>
        <v>7166802.22</v>
      </c>
      <c r="H85" s="38">
        <f>H83+H81</f>
        <v>3625437.035897436</v>
      </c>
      <c r="J85" s="31">
        <f aca="true" t="shared" si="20" ref="J85:AA85">J83+J81</f>
        <v>92491.72193236485</v>
      </c>
      <c r="K85" s="31">
        <f t="shared" si="20"/>
        <v>927383.6652418451</v>
      </c>
      <c r="L85" s="31">
        <f t="shared" si="20"/>
        <v>978685.74034033</v>
      </c>
      <c r="M85" s="31">
        <f t="shared" si="20"/>
        <v>759665.3428044901</v>
      </c>
      <c r="N85" s="31">
        <f t="shared" si="20"/>
        <v>240478.47702414865</v>
      </c>
      <c r="O85" s="31">
        <f t="shared" si="20"/>
        <v>1346679.4713352325</v>
      </c>
      <c r="P85" s="31">
        <f t="shared" si="20"/>
        <v>246644.59181963967</v>
      </c>
      <c r="Q85" s="31">
        <f t="shared" si="20"/>
        <v>19534.25167211546</v>
      </c>
      <c r="R85" s="31">
        <f>R83+R81</f>
        <v>197315.67345571172</v>
      </c>
      <c r="S85" s="31">
        <f t="shared" si="20"/>
        <v>758678.7644372116</v>
      </c>
      <c r="T85" s="31">
        <f t="shared" si="20"/>
        <v>76459.82346408829</v>
      </c>
      <c r="U85" s="31">
        <f t="shared" si="20"/>
        <v>114689.73519613245</v>
      </c>
      <c r="V85" s="31">
        <f>V83+V81</f>
        <v>640007.198950743</v>
      </c>
      <c r="W85" s="31">
        <f t="shared" si="20"/>
        <v>147986.7550917838</v>
      </c>
      <c r="X85" s="31">
        <f>X83+X81</f>
        <v>303866.137121796</v>
      </c>
      <c r="Y85" s="31">
        <f t="shared" si="20"/>
        <v>98657.83672785586</v>
      </c>
      <c r="Z85" s="31">
        <f>Z83+Z81</f>
        <v>217577.03338451145</v>
      </c>
      <c r="AA85" s="31">
        <f t="shared" si="20"/>
        <v>7166802.22</v>
      </c>
      <c r="AB85" s="11"/>
      <c r="AC85" s="31">
        <f>AC83+AC81</f>
        <v>0</v>
      </c>
    </row>
    <row r="86" spans="1:29" ht="29.25" thickBot="1">
      <c r="A86" s="49"/>
      <c r="B86" s="50" t="s">
        <v>20</v>
      </c>
      <c r="C86" s="90"/>
      <c r="D86" s="50"/>
      <c r="E86" s="76"/>
      <c r="F86" s="61"/>
      <c r="G86" s="51"/>
      <c r="H86" s="52" t="e">
        <f>H85-#REF!</f>
        <v>#REF!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24">
        <f>SUM(J86:Z86)</f>
        <v>0</v>
      </c>
      <c r="AB86" s="11"/>
      <c r="AC86" s="18"/>
    </row>
    <row r="87" spans="3:29" ht="14.25">
      <c r="C87" s="3"/>
      <c r="J87" s="101">
        <f>J85-J11</f>
        <v>-1258.278067635154</v>
      </c>
      <c r="K87" s="101">
        <f aca="true" t="shared" si="21" ref="K87:AA87">K85-K11</f>
        <v>-12616.334758154931</v>
      </c>
      <c r="L87" s="101">
        <f t="shared" si="21"/>
        <v>-13314.259659669944</v>
      </c>
      <c r="M87" s="101">
        <f t="shared" si="21"/>
        <v>-10334.657195509877</v>
      </c>
      <c r="N87" s="101">
        <f t="shared" si="21"/>
        <v>-3271.522975851345</v>
      </c>
      <c r="O87" s="101">
        <f t="shared" si="21"/>
        <v>-18320.52866476751</v>
      </c>
      <c r="P87" s="101">
        <f t="shared" si="21"/>
        <v>-3355.408180360333</v>
      </c>
      <c r="Q87" s="101">
        <f t="shared" si="21"/>
        <v>-265.7483278845393</v>
      </c>
      <c r="R87" s="101">
        <f>R85-R11</f>
        <v>-2684.326544288284</v>
      </c>
      <c r="S87" s="101">
        <f t="shared" si="21"/>
        <v>-10321.235562788439</v>
      </c>
      <c r="T87" s="101">
        <f t="shared" si="21"/>
        <v>-1040.1765359117126</v>
      </c>
      <c r="U87" s="101">
        <f t="shared" si="21"/>
        <v>-1560.2648038675543</v>
      </c>
      <c r="V87" s="101">
        <f>V85-V11</f>
        <v>-8706.801049257047</v>
      </c>
      <c r="W87" s="101">
        <f t="shared" si="21"/>
        <v>-2013.2449082162057</v>
      </c>
      <c r="X87" s="101"/>
      <c r="Y87" s="101">
        <f t="shared" si="21"/>
        <v>-1342.163272144142</v>
      </c>
      <c r="Z87" s="101">
        <f t="shared" si="21"/>
        <v>-2959.966615488549</v>
      </c>
      <c r="AA87" s="101">
        <f t="shared" si="21"/>
        <v>-97498.78000000026</v>
      </c>
      <c r="AB87" s="11"/>
      <c r="AC87" s="101">
        <f>AC85-AC11</f>
        <v>-94000</v>
      </c>
    </row>
    <row r="88" spans="2:29" ht="14.25">
      <c r="B88" s="66"/>
      <c r="C88" s="91"/>
      <c r="D88" s="67"/>
      <c r="E88" s="77"/>
      <c r="F88" s="68"/>
      <c r="G88" s="30"/>
      <c r="AB88" s="11"/>
      <c r="AC88" s="63"/>
    </row>
    <row r="89" spans="2:29" ht="14.25">
      <c r="B89" s="66"/>
      <c r="C89" s="91"/>
      <c r="D89" s="67"/>
      <c r="E89" s="77"/>
      <c r="F89" s="68"/>
      <c r="G89" s="30"/>
      <c r="AB89" s="11"/>
      <c r="AC89" s="63"/>
    </row>
    <row r="90" spans="2:28" ht="14.25">
      <c r="B90" s="66"/>
      <c r="C90" s="91"/>
      <c r="D90" s="67"/>
      <c r="E90" s="77"/>
      <c r="F90" s="68"/>
      <c r="G90" s="30"/>
      <c r="AB90" s="11"/>
    </row>
    <row r="91" spans="2:28" ht="14.25">
      <c r="B91" s="66"/>
      <c r="C91" s="91"/>
      <c r="D91" s="67"/>
      <c r="E91" s="77"/>
      <c r="F91" s="68"/>
      <c r="G91" s="30"/>
      <c r="AB91" s="11"/>
    </row>
    <row r="92" ht="14.25">
      <c r="C92" s="3"/>
    </row>
    <row r="93" ht="14.25">
      <c r="C93" s="3"/>
    </row>
    <row r="94" ht="14.25">
      <c r="C94" s="3"/>
    </row>
    <row r="95" ht="14.25">
      <c r="C95" s="3"/>
    </row>
    <row r="96" ht="14.25">
      <c r="C96" s="3"/>
    </row>
    <row r="97" ht="14.25">
      <c r="C97" s="3"/>
    </row>
    <row r="98" ht="14.25">
      <c r="C98" s="3"/>
    </row>
    <row r="99" ht="14.25">
      <c r="C99" s="3"/>
    </row>
    <row r="100" ht="14.25">
      <c r="C100" s="3"/>
    </row>
    <row r="101" ht="14.25">
      <c r="C101" s="3"/>
    </row>
    <row r="102" ht="14.25">
      <c r="C102" s="3"/>
    </row>
    <row r="103" ht="14.25">
      <c r="C103" s="3"/>
    </row>
    <row r="104" ht="14.25">
      <c r="C104" s="3"/>
    </row>
    <row r="105" ht="14.25">
      <c r="C105" s="3"/>
    </row>
    <row r="106" ht="14.25">
      <c r="C106" s="3"/>
    </row>
    <row r="107" ht="14.25">
      <c r="C107" s="3"/>
    </row>
    <row r="108" ht="14.25">
      <c r="C108" s="3"/>
    </row>
    <row r="109" ht="14.25">
      <c r="C109" s="3"/>
    </row>
    <row r="110" ht="14.25">
      <c r="C110" s="3"/>
    </row>
    <row r="111" ht="14.25">
      <c r="C111" s="3"/>
    </row>
    <row r="112" ht="14.25">
      <c r="C112" s="3"/>
    </row>
    <row r="113" ht="14.25">
      <c r="C113" s="3"/>
    </row>
    <row r="114" ht="14.25">
      <c r="C114" s="3"/>
    </row>
    <row r="115" ht="14.25">
      <c r="C115" s="3"/>
    </row>
    <row r="116" ht="14.25">
      <c r="C116" s="3"/>
    </row>
    <row r="117" ht="14.25">
      <c r="C117" s="3"/>
    </row>
    <row r="118" ht="14.25">
      <c r="C118" s="3"/>
    </row>
    <row r="119" ht="14.25">
      <c r="C119" s="3"/>
    </row>
    <row r="120" ht="14.25">
      <c r="C120" s="3"/>
    </row>
    <row r="121" ht="14.25">
      <c r="C121" s="3"/>
    </row>
    <row r="122" ht="14.25">
      <c r="C122" s="3"/>
    </row>
    <row r="123" ht="14.25">
      <c r="C123" s="3"/>
    </row>
    <row r="124" ht="14.25">
      <c r="C124" s="3"/>
    </row>
    <row r="125" ht="14.25">
      <c r="C125" s="3"/>
    </row>
  </sheetData>
  <sheetProtection/>
  <printOptions/>
  <pageMargins left="0.16" right="0.16" top="0.2" bottom="0.22" header="0.16" footer="0.17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0" bestFit="1" customWidth="1"/>
    <col min="2" max="2" width="39.140625" style="0" bestFit="1" customWidth="1"/>
    <col min="3" max="3" width="9.7109375" style="0" customWidth="1"/>
    <col min="4" max="5" width="10.421875" style="0" customWidth="1"/>
  </cols>
  <sheetData>
    <row r="2" spans="3:5" ht="14.25">
      <c r="C2" s="79" t="s">
        <v>97</v>
      </c>
      <c r="D2" s="79" t="s">
        <v>98</v>
      </c>
      <c r="E2" s="79" t="s">
        <v>87</v>
      </c>
    </row>
    <row r="3" spans="1:5" ht="14.25">
      <c r="A3" t="s">
        <v>71</v>
      </c>
      <c r="B3" t="s">
        <v>76</v>
      </c>
      <c r="C3" s="137">
        <v>93750</v>
      </c>
      <c r="D3" s="137">
        <v>93750</v>
      </c>
      <c r="E3" s="137"/>
    </row>
    <row r="4" spans="1:5" ht="14.25">
      <c r="A4" t="s">
        <v>72</v>
      </c>
      <c r="B4" t="s">
        <v>77</v>
      </c>
      <c r="C4" s="137">
        <v>940000</v>
      </c>
      <c r="D4" s="137"/>
      <c r="E4" s="137">
        <v>940000</v>
      </c>
    </row>
    <row r="5" spans="1:5" ht="14.25">
      <c r="A5" t="s">
        <v>72</v>
      </c>
      <c r="B5" t="s">
        <v>62</v>
      </c>
      <c r="C5" s="137">
        <v>992000</v>
      </c>
      <c r="D5" s="137"/>
      <c r="E5" s="137">
        <v>992000</v>
      </c>
    </row>
    <row r="6" spans="1:5" ht="14.25">
      <c r="A6" t="s">
        <v>72</v>
      </c>
      <c r="B6" t="s">
        <v>68</v>
      </c>
      <c r="C6" s="137">
        <v>770000</v>
      </c>
      <c r="D6" s="137"/>
      <c r="E6" s="137">
        <v>770000</v>
      </c>
    </row>
    <row r="7" spans="1:5" ht="14.25">
      <c r="A7" t="s">
        <v>80</v>
      </c>
      <c r="B7" t="s">
        <v>70</v>
      </c>
      <c r="C7" s="137">
        <v>146250</v>
      </c>
      <c r="D7" s="137"/>
      <c r="E7" s="137">
        <v>146250</v>
      </c>
    </row>
    <row r="8" spans="1:5" ht="14.25">
      <c r="A8" t="s">
        <v>92</v>
      </c>
      <c r="B8" t="s">
        <v>61</v>
      </c>
      <c r="C8" s="137">
        <v>1365000</v>
      </c>
      <c r="D8" s="137">
        <v>1365000</v>
      </c>
      <c r="E8" s="137"/>
    </row>
    <row r="9" spans="1:6" ht="14.25">
      <c r="A9" t="s">
        <v>71</v>
      </c>
      <c r="B9" t="s">
        <v>63</v>
      </c>
      <c r="C9" s="137">
        <v>250000</v>
      </c>
      <c r="D9" s="137">
        <v>250000</v>
      </c>
      <c r="E9" s="137"/>
      <c r="F9" s="79"/>
    </row>
    <row r="10" spans="1:5" ht="14.25">
      <c r="A10" t="s">
        <v>73</v>
      </c>
      <c r="B10" t="s">
        <v>64</v>
      </c>
      <c r="C10" s="137">
        <v>19800</v>
      </c>
      <c r="D10" s="137">
        <v>19800</v>
      </c>
      <c r="E10" s="137"/>
    </row>
    <row r="11" spans="1:5" ht="14.25">
      <c r="A11" s="79" t="s">
        <v>72</v>
      </c>
      <c r="B11" t="s">
        <v>84</v>
      </c>
      <c r="C11" s="137">
        <v>200000</v>
      </c>
      <c r="D11" s="137">
        <v>200000</v>
      </c>
      <c r="E11" s="137"/>
    </row>
    <row r="12" spans="1:5" ht="14.25">
      <c r="A12" t="s">
        <v>72</v>
      </c>
      <c r="B12" s="79" t="s">
        <v>69</v>
      </c>
      <c r="C12" s="137">
        <v>769000</v>
      </c>
      <c r="D12" s="137"/>
      <c r="E12" s="137">
        <v>769000</v>
      </c>
    </row>
    <row r="13" spans="1:5" ht="14.25">
      <c r="A13" t="s">
        <v>71</v>
      </c>
      <c r="B13" t="s">
        <v>67</v>
      </c>
      <c r="C13" s="137">
        <v>77500</v>
      </c>
      <c r="D13" s="137">
        <v>77500</v>
      </c>
      <c r="E13" s="137"/>
    </row>
    <row r="14" spans="1:5" ht="14.25">
      <c r="A14" t="s">
        <v>72</v>
      </c>
      <c r="B14" t="s">
        <v>66</v>
      </c>
      <c r="C14" s="137">
        <v>116250</v>
      </c>
      <c r="D14" s="137">
        <v>116250</v>
      </c>
      <c r="E14" s="137"/>
    </row>
    <row r="15" spans="2:5" ht="14.25">
      <c r="B15" t="s">
        <v>95</v>
      </c>
      <c r="C15" s="137">
        <v>648714</v>
      </c>
      <c r="D15" s="137">
        <v>648714</v>
      </c>
      <c r="E15" s="137"/>
    </row>
    <row r="16" spans="1:5" ht="14.25">
      <c r="A16" t="s">
        <v>72</v>
      </c>
      <c r="B16" t="s">
        <v>65</v>
      </c>
      <c r="C16" s="137">
        <v>150000</v>
      </c>
      <c r="D16" s="137">
        <v>150000</v>
      </c>
      <c r="E16" s="137"/>
    </row>
    <row r="17" spans="1:5" ht="14.25">
      <c r="A17" s="79" t="s">
        <v>72</v>
      </c>
      <c r="B17" s="79" t="s">
        <v>85</v>
      </c>
      <c r="C17" s="137">
        <v>308000</v>
      </c>
      <c r="D17" s="137"/>
      <c r="E17" s="137">
        <v>308000</v>
      </c>
    </row>
    <row r="18" spans="1:5" ht="14.25">
      <c r="A18" t="s">
        <v>72</v>
      </c>
      <c r="B18" s="79" t="s">
        <v>75</v>
      </c>
      <c r="C18" s="137">
        <v>100000</v>
      </c>
      <c r="D18" s="137">
        <v>100000</v>
      </c>
      <c r="E18" s="137"/>
    </row>
    <row r="19" spans="1:5" ht="14.25">
      <c r="A19" t="s">
        <v>71</v>
      </c>
      <c r="B19" t="s">
        <v>94</v>
      </c>
      <c r="C19" s="137">
        <v>220537</v>
      </c>
      <c r="D19" s="137">
        <v>220537</v>
      </c>
      <c r="E19" s="137"/>
    </row>
    <row r="20" spans="1:5" ht="14.25">
      <c r="A20" s="79" t="s">
        <v>72</v>
      </c>
      <c r="B20" s="79" t="s">
        <v>74</v>
      </c>
      <c r="C20" s="138">
        <v>7166801</v>
      </c>
      <c r="D20" s="138">
        <v>3241551</v>
      </c>
      <c r="E20" s="138">
        <v>3925250</v>
      </c>
    </row>
    <row r="21" spans="3:5" ht="14.25">
      <c r="C21" s="137"/>
      <c r="D21" s="137"/>
      <c r="E21" s="137"/>
    </row>
    <row r="22" spans="1:5" ht="14.25">
      <c r="A22" t="s">
        <v>71</v>
      </c>
      <c r="B22" t="s">
        <v>93</v>
      </c>
      <c r="C22" s="137">
        <v>94000</v>
      </c>
      <c r="D22" s="137">
        <v>94000</v>
      </c>
      <c r="E22" s="137"/>
    </row>
    <row r="23" ht="14.25">
      <c r="C23" s="80"/>
    </row>
    <row r="24" ht="14.25">
      <c r="C24" s="80"/>
    </row>
    <row r="25" ht="14.25">
      <c r="C25" s="80"/>
    </row>
    <row r="26" ht="14.25">
      <c r="C26" s="80"/>
    </row>
    <row r="27" ht="14.25">
      <c r="C27" s="80"/>
    </row>
    <row r="28" ht="14.25">
      <c r="C28" s="80"/>
    </row>
    <row r="29" ht="14.25">
      <c r="C29" s="80"/>
    </row>
    <row r="30" ht="14.25">
      <c r="C30" s="80"/>
    </row>
    <row r="31" ht="14.25">
      <c r="C31" s="80"/>
    </row>
    <row r="32" ht="14.25">
      <c r="C32" s="80"/>
    </row>
    <row r="33" ht="14.25">
      <c r="C33" s="80"/>
    </row>
    <row r="34" ht="14.25">
      <c r="C34" s="80"/>
    </row>
    <row r="35" ht="14.25">
      <c r="C35" s="80"/>
    </row>
    <row r="36" ht="14.25">
      <c r="C36" s="80"/>
    </row>
    <row r="37" ht="14.25">
      <c r="C37" s="80"/>
    </row>
    <row r="38" ht="14.25">
      <c r="C38" s="80"/>
    </row>
    <row r="39" ht="14.25">
      <c r="C39" s="80"/>
    </row>
    <row r="40" ht="14.25">
      <c r="C40" s="80"/>
    </row>
    <row r="41" ht="14.25">
      <c r="C41" s="80"/>
    </row>
    <row r="42" ht="14.25">
      <c r="C42" s="80"/>
    </row>
    <row r="43" ht="14.25">
      <c r="C43" s="80"/>
    </row>
    <row r="44" ht="14.25">
      <c r="C44" s="80"/>
    </row>
    <row r="45" ht="14.25">
      <c r="C45" s="80"/>
    </row>
    <row r="46" ht="14.25">
      <c r="C46" s="80"/>
    </row>
    <row r="47" ht="14.25">
      <c r="C47" s="80"/>
    </row>
    <row r="48" ht="14.25">
      <c r="C48" s="80"/>
    </row>
    <row r="49" ht="14.25">
      <c r="C49" s="80"/>
    </row>
    <row r="50" ht="14.25">
      <c r="C50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jsalcedo</dc:creator>
  <cp:keywords/>
  <dc:description/>
  <cp:lastModifiedBy>Luis Valverde</cp:lastModifiedBy>
  <cp:lastPrinted>2008-05-20T02:43:48Z</cp:lastPrinted>
  <dcterms:created xsi:type="dcterms:W3CDTF">2007-04-17T01:58:29Z</dcterms:created>
  <dcterms:modified xsi:type="dcterms:W3CDTF">2008-07-02T23:16:04Z</dcterms:modified>
  <cp:category/>
  <cp:version/>
  <cp:contentType/>
  <cp:contentStatus/>
</cp:coreProperties>
</file>